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05"/>
  </bookViews>
  <sheets>
    <sheet name="Sheet1" sheetId="1" r:id="rId1"/>
  </sheets>
  <definedNames>
    <definedName name="_xlnm._FilterDatabase" localSheetId="0" hidden="1">Sheet1!$A$2:$K$2785</definedName>
  </definedNames>
  <calcPr calcId="144525"/>
</workbook>
</file>

<file path=xl/sharedStrings.xml><?xml version="1.0" encoding="utf-8"?>
<sst xmlns="http://schemas.openxmlformats.org/spreadsheetml/2006/main" count="6886" uniqueCount="51">
  <si>
    <t>怀化市教育局2021年公开招聘市直公办学校教师笔试成绩</t>
  </si>
  <si>
    <t>岗位代码</t>
  </si>
  <si>
    <t>岗位名称</t>
  </si>
  <si>
    <t>姓名</t>
  </si>
  <si>
    <t>准考证号</t>
  </si>
  <si>
    <t>考场号</t>
  </si>
  <si>
    <t>座位号</t>
  </si>
  <si>
    <t>考点名称</t>
  </si>
  <si>
    <t>成绩</t>
  </si>
  <si>
    <t>备注</t>
  </si>
  <si>
    <t>按岗位代码排名</t>
  </si>
  <si>
    <t>高中语文</t>
  </si>
  <si>
    <t>怀化市雅礼实验学校</t>
  </si>
  <si>
    <t>缺考</t>
  </si>
  <si>
    <t>高中数学1</t>
  </si>
  <si>
    <t>高中英语</t>
  </si>
  <si>
    <t>高中政治</t>
  </si>
  <si>
    <t>高中地理</t>
  </si>
  <si>
    <t>高中物理</t>
  </si>
  <si>
    <t>高中生物</t>
  </si>
  <si>
    <t>初中语文</t>
  </si>
  <si>
    <t>初中数学</t>
  </si>
  <si>
    <t>初中英语</t>
  </si>
  <si>
    <t>初中道德与法治</t>
  </si>
  <si>
    <t>初中物理</t>
  </si>
  <si>
    <t>初中化学</t>
  </si>
  <si>
    <t>初中音乐</t>
  </si>
  <si>
    <t>怀化市第三中学</t>
  </si>
  <si>
    <t>初中体育</t>
  </si>
  <si>
    <t>初中美术</t>
  </si>
  <si>
    <t>初中心理健康</t>
  </si>
  <si>
    <t>初中卫生技术</t>
  </si>
  <si>
    <t>初中会计</t>
  </si>
  <si>
    <t>小学语文</t>
  </si>
  <si>
    <t>小学数学</t>
  </si>
  <si>
    <t>小学英语</t>
  </si>
  <si>
    <t>小学道德与法治</t>
  </si>
  <si>
    <t>小学科学</t>
  </si>
  <si>
    <t>小学音乐1</t>
  </si>
  <si>
    <t>小学音乐2</t>
  </si>
  <si>
    <t>小学音乐3</t>
  </si>
  <si>
    <t>小学体育1</t>
  </si>
  <si>
    <t>小学体育2</t>
  </si>
  <si>
    <t>小学美术</t>
  </si>
  <si>
    <t>小学信息技术</t>
  </si>
  <si>
    <t>小学卫生技术</t>
  </si>
  <si>
    <t>小学会计</t>
  </si>
  <si>
    <t>幼儿园教师1</t>
  </si>
  <si>
    <t>幼儿园教师2</t>
  </si>
  <si>
    <t>幼儿园教师3</t>
  </si>
  <si>
    <t>幼儿园卫生技术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</si>
</sst>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2" fillId="28" borderId="10" applyNumberFormat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18" borderId="4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85"/>
  <sheetViews>
    <sheetView tabSelected="1" workbookViewId="0">
      <selection activeCell="H21" sqref="H21"/>
    </sheetView>
  </sheetViews>
  <sheetFormatPr defaultColWidth="9" defaultRowHeight="15" customHeight="true"/>
  <cols>
    <col min="1" max="1" width="8.875" style="1" customWidth="true"/>
    <col min="2" max="2" width="16.125" style="1" customWidth="true"/>
    <col min="3" max="3" width="10.5" style="1" customWidth="true"/>
    <col min="4" max="4" width="11.25" style="1" customWidth="true"/>
    <col min="5" max="5" width="6.75" style="1" customWidth="true"/>
    <col min="6" max="6" width="6.5" style="1" customWidth="true"/>
    <col min="7" max="7" width="19.75" style="1" customWidth="true"/>
    <col min="8" max="8" width="9" style="1"/>
    <col min="9" max="9" width="11" style="1" customWidth="true"/>
    <col min="10" max="10" width="15.25" style="1" customWidth="true"/>
    <col min="11" max="11" width="11.625" style="1" customWidth="true"/>
    <col min="12" max="16384" width="9" style="1"/>
  </cols>
  <sheetData>
    <row r="1" s="1" customFormat="true" ht="30.75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customHeight="true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true" customHeight="true" spans="1:10">
      <c r="A3" s="4" t="str">
        <f t="shared" ref="A3:A40" si="0">"001"</f>
        <v>001</v>
      </c>
      <c r="B3" s="4" t="s">
        <v>11</v>
      </c>
      <c r="C3" s="4" t="str">
        <f>"向娜"</f>
        <v>向娜</v>
      </c>
      <c r="D3" s="4" t="str">
        <f>"2021010120"</f>
        <v>2021010120</v>
      </c>
      <c r="E3" s="4" t="str">
        <f t="shared" ref="E3:E9" si="1">"01"</f>
        <v>01</v>
      </c>
      <c r="F3" s="4" t="str">
        <f>"20"</f>
        <v>20</v>
      </c>
      <c r="G3" s="4" t="s">
        <v>12</v>
      </c>
      <c r="H3" s="5">
        <v>76.05</v>
      </c>
      <c r="I3" s="4"/>
      <c r="J3" s="4">
        <f>SUMPRODUCT(--((A3=$A$3:$A$2785)*$H$3:$H$2785&gt;H3))+1</f>
        <v>1</v>
      </c>
    </row>
    <row r="4" s="1" customFormat="true" customHeight="true" spans="1:10">
      <c r="A4" s="4" t="str">
        <f t="shared" si="0"/>
        <v>001</v>
      </c>
      <c r="B4" s="4" t="s">
        <v>11</v>
      </c>
      <c r="C4" s="4" t="str">
        <f>"刘林玲"</f>
        <v>刘林玲</v>
      </c>
      <c r="D4" s="4" t="str">
        <f>"2021010107"</f>
        <v>2021010107</v>
      </c>
      <c r="E4" s="4" t="str">
        <f t="shared" si="1"/>
        <v>01</v>
      </c>
      <c r="F4" s="4" t="str">
        <f>"07"</f>
        <v>07</v>
      </c>
      <c r="G4" s="4" t="s">
        <v>12</v>
      </c>
      <c r="H4" s="5">
        <v>74.65</v>
      </c>
      <c r="I4" s="4"/>
      <c r="J4" s="4">
        <f>SUMPRODUCT(--((A4=$A$3:$A$2785)*$H$3:$H$2785&gt;H4))+1</f>
        <v>2</v>
      </c>
    </row>
    <row r="5" s="1" customFormat="true" customHeight="true" spans="1:10">
      <c r="A5" s="4" t="str">
        <f t="shared" si="0"/>
        <v>001</v>
      </c>
      <c r="B5" s="4" t="s">
        <v>11</v>
      </c>
      <c r="C5" s="4" t="str">
        <f>"张婷"</f>
        <v>张婷</v>
      </c>
      <c r="D5" s="4" t="str">
        <f>"2021010114"</f>
        <v>2021010114</v>
      </c>
      <c r="E5" s="4" t="str">
        <f t="shared" si="1"/>
        <v>01</v>
      </c>
      <c r="F5" s="4" t="str">
        <f>"14"</f>
        <v>14</v>
      </c>
      <c r="G5" s="4" t="s">
        <v>12</v>
      </c>
      <c r="H5" s="5">
        <v>74.05</v>
      </c>
      <c r="I5" s="4"/>
      <c r="J5" s="4">
        <f>SUMPRODUCT(--((A5=$A$3:$A$2785)*$H$3:$H$2785&gt;H5))+1</f>
        <v>3</v>
      </c>
    </row>
    <row r="6" s="1" customFormat="true" customHeight="true" spans="1:10">
      <c r="A6" s="4" t="str">
        <f t="shared" si="0"/>
        <v>001</v>
      </c>
      <c r="B6" s="4" t="s">
        <v>11</v>
      </c>
      <c r="C6" s="4" t="str">
        <f>"张慧"</f>
        <v>张慧</v>
      </c>
      <c r="D6" s="4" t="str">
        <f>"2021010106"</f>
        <v>2021010106</v>
      </c>
      <c r="E6" s="4" t="str">
        <f t="shared" si="1"/>
        <v>01</v>
      </c>
      <c r="F6" s="4" t="str">
        <f>"06"</f>
        <v>06</v>
      </c>
      <c r="G6" s="4" t="s">
        <v>12</v>
      </c>
      <c r="H6" s="5">
        <v>68.65</v>
      </c>
      <c r="I6" s="4"/>
      <c r="J6" s="4">
        <f>SUMPRODUCT(--((A6=$A$3:$A$2785)*$H$3:$H$2785&gt;H6))+1</f>
        <v>4</v>
      </c>
    </row>
    <row r="7" s="1" customFormat="true" customHeight="true" spans="1:10">
      <c r="A7" s="4" t="str">
        <f t="shared" si="0"/>
        <v>001</v>
      </c>
      <c r="B7" s="4" t="s">
        <v>11</v>
      </c>
      <c r="C7" s="4" t="str">
        <f>"应笑庆"</f>
        <v>应笑庆</v>
      </c>
      <c r="D7" s="4" t="str">
        <f>"2021010103"</f>
        <v>2021010103</v>
      </c>
      <c r="E7" s="4" t="str">
        <f t="shared" si="1"/>
        <v>01</v>
      </c>
      <c r="F7" s="4" t="str">
        <f>"03"</f>
        <v>03</v>
      </c>
      <c r="G7" s="4" t="s">
        <v>12</v>
      </c>
      <c r="H7" s="5">
        <v>67.95</v>
      </c>
      <c r="I7" s="4"/>
      <c r="J7" s="4">
        <f>SUMPRODUCT(--((A7=$A$3:$A$2785)*$H$3:$H$2785&gt;H7))+1</f>
        <v>5</v>
      </c>
    </row>
    <row r="8" s="1" customFormat="true" customHeight="true" spans="1:10">
      <c r="A8" s="4" t="str">
        <f t="shared" si="0"/>
        <v>001</v>
      </c>
      <c r="B8" s="4" t="s">
        <v>11</v>
      </c>
      <c r="C8" s="4" t="str">
        <f>"易玲芝"</f>
        <v>易玲芝</v>
      </c>
      <c r="D8" s="4" t="str">
        <f>"2021010101"</f>
        <v>2021010101</v>
      </c>
      <c r="E8" s="4" t="str">
        <f t="shared" si="1"/>
        <v>01</v>
      </c>
      <c r="F8" s="4" t="str">
        <f>"01"</f>
        <v>01</v>
      </c>
      <c r="G8" s="4" t="s">
        <v>12</v>
      </c>
      <c r="H8" s="5">
        <v>67.85</v>
      </c>
      <c r="I8" s="4"/>
      <c r="J8" s="4">
        <f>SUMPRODUCT(--((A8=$A$3:$A$2785)*$H$3:$H$2785&gt;H8))+1</f>
        <v>6</v>
      </c>
    </row>
    <row r="9" s="1" customFormat="true" customHeight="true" spans="1:10">
      <c r="A9" s="4" t="str">
        <f t="shared" si="0"/>
        <v>001</v>
      </c>
      <c r="B9" s="4" t="s">
        <v>11</v>
      </c>
      <c r="C9" s="4" t="str">
        <f>"杨婷婷"</f>
        <v>杨婷婷</v>
      </c>
      <c r="D9" s="4" t="str">
        <f>"2021010116"</f>
        <v>2021010116</v>
      </c>
      <c r="E9" s="4" t="str">
        <f t="shared" si="1"/>
        <v>01</v>
      </c>
      <c r="F9" s="4" t="str">
        <f>"16"</f>
        <v>16</v>
      </c>
      <c r="G9" s="4" t="s">
        <v>12</v>
      </c>
      <c r="H9" s="5">
        <v>67</v>
      </c>
      <c r="I9" s="4"/>
      <c r="J9" s="4">
        <f>SUMPRODUCT(--((A9=$A$3:$A$2785)*$H$3:$H$2785&gt;H9))+1</f>
        <v>7</v>
      </c>
    </row>
    <row r="10" s="1" customFormat="true" customHeight="true" spans="1:10">
      <c r="A10" s="4" t="str">
        <f t="shared" si="0"/>
        <v>001</v>
      </c>
      <c r="B10" s="4" t="s">
        <v>11</v>
      </c>
      <c r="C10" s="4" t="str">
        <f>"姚梦"</f>
        <v>姚梦</v>
      </c>
      <c r="D10" s="4" t="str">
        <f>"2021010206"</f>
        <v>2021010206</v>
      </c>
      <c r="E10" s="4" t="str">
        <f>"02"</f>
        <v>02</v>
      </c>
      <c r="F10" s="4" t="str">
        <f>"06"</f>
        <v>06</v>
      </c>
      <c r="G10" s="4" t="s">
        <v>12</v>
      </c>
      <c r="H10" s="5">
        <v>66.45</v>
      </c>
      <c r="I10" s="4"/>
      <c r="J10" s="4">
        <f>SUMPRODUCT(--((A10=$A$3:$A$2785)*$H$3:$H$2785&gt;H10))+1</f>
        <v>8</v>
      </c>
    </row>
    <row r="11" s="1" customFormat="true" customHeight="true" spans="1:10">
      <c r="A11" s="4" t="str">
        <f t="shared" si="0"/>
        <v>001</v>
      </c>
      <c r="B11" s="4" t="s">
        <v>11</v>
      </c>
      <c r="C11" s="4" t="str">
        <f>"张贝"</f>
        <v>张贝</v>
      </c>
      <c r="D11" s="4" t="str">
        <f>"2021010119"</f>
        <v>2021010119</v>
      </c>
      <c r="E11" s="4" t="str">
        <f t="shared" ref="E11:E15" si="2">"01"</f>
        <v>01</v>
      </c>
      <c r="F11" s="4" t="str">
        <f>"19"</f>
        <v>19</v>
      </c>
      <c r="G11" s="4" t="s">
        <v>12</v>
      </c>
      <c r="H11" s="5">
        <v>65.7</v>
      </c>
      <c r="I11" s="4"/>
      <c r="J11" s="4">
        <f>SUMPRODUCT(--((A11=$A$3:$A$2785)*$H$3:$H$2785&gt;H11))+1</f>
        <v>9</v>
      </c>
    </row>
    <row r="12" s="1" customFormat="true" customHeight="true" spans="1:10">
      <c r="A12" s="4" t="str">
        <f t="shared" si="0"/>
        <v>001</v>
      </c>
      <c r="B12" s="4" t="s">
        <v>11</v>
      </c>
      <c r="C12" s="4" t="str">
        <f>"于婷"</f>
        <v>于婷</v>
      </c>
      <c r="D12" s="4" t="str">
        <f>"2021010105"</f>
        <v>2021010105</v>
      </c>
      <c r="E12" s="4" t="str">
        <f t="shared" si="2"/>
        <v>01</v>
      </c>
      <c r="F12" s="4" t="str">
        <f>"05"</f>
        <v>05</v>
      </c>
      <c r="G12" s="4" t="s">
        <v>12</v>
      </c>
      <c r="H12" s="5">
        <v>63.25</v>
      </c>
      <c r="I12" s="4"/>
      <c r="J12" s="4">
        <f>SUMPRODUCT(--((A12=$A$3:$A$2785)*$H$3:$H$2785&gt;H12))+1</f>
        <v>10</v>
      </c>
    </row>
    <row r="13" s="1" customFormat="true" customHeight="true" spans="1:10">
      <c r="A13" s="4" t="str">
        <f t="shared" si="0"/>
        <v>001</v>
      </c>
      <c r="B13" s="4" t="s">
        <v>11</v>
      </c>
      <c r="C13" s="4" t="str">
        <f>"黄美香"</f>
        <v>黄美香</v>
      </c>
      <c r="D13" s="4" t="str">
        <f>"2021010130"</f>
        <v>2021010130</v>
      </c>
      <c r="E13" s="4" t="str">
        <f t="shared" si="2"/>
        <v>01</v>
      </c>
      <c r="F13" s="4" t="str">
        <f>"30"</f>
        <v>30</v>
      </c>
      <c r="G13" s="4" t="s">
        <v>12</v>
      </c>
      <c r="H13" s="5">
        <v>63.25</v>
      </c>
      <c r="I13" s="4"/>
      <c r="J13" s="4">
        <f>SUMPRODUCT(--((A13=$A$3:$A$2785)*$H$3:$H$2785&gt;H13))+1</f>
        <v>10</v>
      </c>
    </row>
    <row r="14" s="1" customFormat="true" customHeight="true" spans="1:10">
      <c r="A14" s="4" t="str">
        <f t="shared" si="0"/>
        <v>001</v>
      </c>
      <c r="B14" s="4" t="s">
        <v>11</v>
      </c>
      <c r="C14" s="4" t="str">
        <f>"何海帆"</f>
        <v>何海帆</v>
      </c>
      <c r="D14" s="4" t="str">
        <f>"2021010125"</f>
        <v>2021010125</v>
      </c>
      <c r="E14" s="4" t="str">
        <f t="shared" si="2"/>
        <v>01</v>
      </c>
      <c r="F14" s="4" t="str">
        <f>"25"</f>
        <v>25</v>
      </c>
      <c r="G14" s="4" t="s">
        <v>12</v>
      </c>
      <c r="H14" s="5">
        <v>63.2</v>
      </c>
      <c r="I14" s="4"/>
      <c r="J14" s="4">
        <f>SUMPRODUCT(--((A14=$A$3:$A$2785)*$H$3:$H$2785&gt;H14))+1</f>
        <v>12</v>
      </c>
    </row>
    <row r="15" s="1" customFormat="true" customHeight="true" spans="1:10">
      <c r="A15" s="4" t="str">
        <f t="shared" si="0"/>
        <v>001</v>
      </c>
      <c r="B15" s="4" t="s">
        <v>11</v>
      </c>
      <c r="C15" s="4" t="str">
        <f>"唐思"</f>
        <v>唐思</v>
      </c>
      <c r="D15" s="4" t="str">
        <f>"2021010115"</f>
        <v>2021010115</v>
      </c>
      <c r="E15" s="4" t="str">
        <f t="shared" si="2"/>
        <v>01</v>
      </c>
      <c r="F15" s="4" t="str">
        <f>"15"</f>
        <v>15</v>
      </c>
      <c r="G15" s="4" t="s">
        <v>12</v>
      </c>
      <c r="H15" s="5">
        <v>61.55</v>
      </c>
      <c r="I15" s="4"/>
      <c r="J15" s="4">
        <f>SUMPRODUCT(--((A15=$A$3:$A$2785)*$H$3:$H$2785&gt;H15))+1</f>
        <v>13</v>
      </c>
    </row>
    <row r="16" s="1" customFormat="true" customHeight="true" spans="1:10">
      <c r="A16" s="4" t="str">
        <f t="shared" si="0"/>
        <v>001</v>
      </c>
      <c r="B16" s="4" t="s">
        <v>11</v>
      </c>
      <c r="C16" s="4" t="str">
        <f>"周茂怡"</f>
        <v>周茂怡</v>
      </c>
      <c r="D16" s="4" t="str">
        <f>"2021010203"</f>
        <v>2021010203</v>
      </c>
      <c r="E16" s="4" t="str">
        <f>"02"</f>
        <v>02</v>
      </c>
      <c r="F16" s="4" t="str">
        <f>"03"</f>
        <v>03</v>
      </c>
      <c r="G16" s="4" t="s">
        <v>12</v>
      </c>
      <c r="H16" s="5">
        <v>59.35</v>
      </c>
      <c r="I16" s="4"/>
      <c r="J16" s="4">
        <f>SUMPRODUCT(--((A16=$A$3:$A$2785)*$H$3:$H$2785&gt;H16))+1</f>
        <v>14</v>
      </c>
    </row>
    <row r="17" s="1" customFormat="true" customHeight="true" spans="1:10">
      <c r="A17" s="4" t="str">
        <f t="shared" si="0"/>
        <v>001</v>
      </c>
      <c r="B17" s="4" t="s">
        <v>11</v>
      </c>
      <c r="C17" s="4" t="str">
        <f>"粟俊"</f>
        <v>粟俊</v>
      </c>
      <c r="D17" s="4" t="str">
        <f>"2021010207"</f>
        <v>2021010207</v>
      </c>
      <c r="E17" s="4" t="str">
        <f>"02"</f>
        <v>02</v>
      </c>
      <c r="F17" s="4" t="str">
        <f>"07"</f>
        <v>07</v>
      </c>
      <c r="G17" s="4" t="s">
        <v>12</v>
      </c>
      <c r="H17" s="5">
        <v>58.8</v>
      </c>
      <c r="I17" s="4"/>
      <c r="J17" s="4">
        <f>SUMPRODUCT(--((A17=$A$3:$A$2785)*$H$3:$H$2785&gt;H17))+1</f>
        <v>15</v>
      </c>
    </row>
    <row r="18" s="1" customFormat="true" customHeight="true" spans="1:10">
      <c r="A18" s="4" t="str">
        <f t="shared" si="0"/>
        <v>001</v>
      </c>
      <c r="B18" s="4" t="s">
        <v>11</v>
      </c>
      <c r="C18" s="4" t="str">
        <f>"杨丽莎"</f>
        <v>杨丽莎</v>
      </c>
      <c r="D18" s="4" t="str">
        <f>"2021010121"</f>
        <v>2021010121</v>
      </c>
      <c r="E18" s="4" t="str">
        <f t="shared" ref="E18:E35" si="3">"01"</f>
        <v>01</v>
      </c>
      <c r="F18" s="4" t="str">
        <f>"21"</f>
        <v>21</v>
      </c>
      <c r="G18" s="4" t="s">
        <v>12</v>
      </c>
      <c r="H18" s="5">
        <v>58.65</v>
      </c>
      <c r="I18" s="4"/>
      <c r="J18" s="4">
        <f>SUMPRODUCT(--((A18=$A$3:$A$2785)*$H$3:$H$2785&gt;H18))+1</f>
        <v>16</v>
      </c>
    </row>
    <row r="19" s="1" customFormat="true" customHeight="true" spans="1:10">
      <c r="A19" s="4" t="str">
        <f t="shared" si="0"/>
        <v>001</v>
      </c>
      <c r="B19" s="4" t="s">
        <v>11</v>
      </c>
      <c r="C19" s="4" t="str">
        <f>"梁素珍"</f>
        <v>梁素珍</v>
      </c>
      <c r="D19" s="4" t="str">
        <f>"2021010117"</f>
        <v>2021010117</v>
      </c>
      <c r="E19" s="4" t="str">
        <f t="shared" si="3"/>
        <v>01</v>
      </c>
      <c r="F19" s="4" t="str">
        <f>"17"</f>
        <v>17</v>
      </c>
      <c r="G19" s="4" t="s">
        <v>12</v>
      </c>
      <c r="H19" s="5">
        <v>56.85</v>
      </c>
      <c r="I19" s="4"/>
      <c r="J19" s="4">
        <f>SUMPRODUCT(--((A19=$A$3:$A$2785)*$H$3:$H$2785&gt;H19))+1</f>
        <v>17</v>
      </c>
    </row>
    <row r="20" s="1" customFormat="true" customHeight="true" spans="1:10">
      <c r="A20" s="4" t="str">
        <f t="shared" si="0"/>
        <v>001</v>
      </c>
      <c r="B20" s="4" t="s">
        <v>11</v>
      </c>
      <c r="C20" s="4" t="str">
        <f>"彭芊"</f>
        <v>彭芊</v>
      </c>
      <c r="D20" s="4" t="str">
        <f>"2021010128"</f>
        <v>2021010128</v>
      </c>
      <c r="E20" s="4" t="str">
        <f t="shared" si="3"/>
        <v>01</v>
      </c>
      <c r="F20" s="4" t="str">
        <f>"28"</f>
        <v>28</v>
      </c>
      <c r="G20" s="4" t="s">
        <v>12</v>
      </c>
      <c r="H20" s="5">
        <v>53.1</v>
      </c>
      <c r="I20" s="4"/>
      <c r="J20" s="4">
        <f>SUMPRODUCT(--((A20=$A$3:$A$2785)*$H$3:$H$2785&gt;H20))+1</f>
        <v>18</v>
      </c>
    </row>
    <row r="21" s="1" customFormat="true" customHeight="true" spans="1:10">
      <c r="A21" s="4" t="str">
        <f t="shared" si="0"/>
        <v>001</v>
      </c>
      <c r="B21" s="4" t="s">
        <v>11</v>
      </c>
      <c r="C21" s="4" t="str">
        <f>"姚慕臻"</f>
        <v>姚慕臻</v>
      </c>
      <c r="D21" s="4" t="str">
        <f>"2021010118"</f>
        <v>2021010118</v>
      </c>
      <c r="E21" s="4" t="str">
        <f t="shared" si="3"/>
        <v>01</v>
      </c>
      <c r="F21" s="4" t="str">
        <f>"18"</f>
        <v>18</v>
      </c>
      <c r="G21" s="4" t="s">
        <v>12</v>
      </c>
      <c r="H21" s="5">
        <v>45.65</v>
      </c>
      <c r="I21" s="4"/>
      <c r="J21" s="4">
        <f>SUMPRODUCT(--((A21=$A$3:$A$2785)*$H$3:$H$2785&gt;H21))+1</f>
        <v>19</v>
      </c>
    </row>
    <row r="22" s="1" customFormat="true" customHeight="true" spans="1:10">
      <c r="A22" s="4" t="str">
        <f t="shared" si="0"/>
        <v>001</v>
      </c>
      <c r="B22" s="4" t="s">
        <v>11</v>
      </c>
      <c r="C22" s="4" t="str">
        <f>"米芾芾"</f>
        <v>米芾芾</v>
      </c>
      <c r="D22" s="4" t="str">
        <f>"2021010112"</f>
        <v>2021010112</v>
      </c>
      <c r="E22" s="4" t="str">
        <f t="shared" si="3"/>
        <v>01</v>
      </c>
      <c r="F22" s="4" t="str">
        <f>"12"</f>
        <v>12</v>
      </c>
      <c r="G22" s="4" t="s">
        <v>12</v>
      </c>
      <c r="H22" s="5">
        <v>27.7</v>
      </c>
      <c r="I22" s="4"/>
      <c r="J22" s="4">
        <f>SUMPRODUCT(--((A22=$A$3:$A$2785)*$H$3:$H$2785&gt;H22))+1</f>
        <v>20</v>
      </c>
    </row>
    <row r="23" s="1" customFormat="true" customHeight="true" spans="1:10">
      <c r="A23" s="4" t="str">
        <f t="shared" si="0"/>
        <v>001</v>
      </c>
      <c r="B23" s="4" t="s">
        <v>11</v>
      </c>
      <c r="C23" s="4" t="str">
        <f>"田欢"</f>
        <v>田欢</v>
      </c>
      <c r="D23" s="4" t="str">
        <f>"2021010102"</f>
        <v>2021010102</v>
      </c>
      <c r="E23" s="4" t="str">
        <f t="shared" si="3"/>
        <v>01</v>
      </c>
      <c r="F23" s="4" t="str">
        <f>"02"</f>
        <v>02</v>
      </c>
      <c r="G23" s="4" t="s">
        <v>12</v>
      </c>
      <c r="H23" s="5">
        <v>0</v>
      </c>
      <c r="I23" s="6" t="s">
        <v>13</v>
      </c>
      <c r="J23" s="4">
        <f>SUMPRODUCT(--((A23=$A$3:$A$2785)*$H$3:$H$2785&gt;H23))+1</f>
        <v>21</v>
      </c>
    </row>
    <row r="24" s="1" customFormat="true" customHeight="true" spans="1:10">
      <c r="A24" s="4" t="str">
        <f t="shared" si="0"/>
        <v>001</v>
      </c>
      <c r="B24" s="4" t="s">
        <v>11</v>
      </c>
      <c r="C24" s="4" t="str">
        <f>"杜冬翠"</f>
        <v>杜冬翠</v>
      </c>
      <c r="D24" s="4" t="str">
        <f>"2021010104"</f>
        <v>2021010104</v>
      </c>
      <c r="E24" s="4" t="str">
        <f t="shared" si="3"/>
        <v>01</v>
      </c>
      <c r="F24" s="4" t="str">
        <f>"04"</f>
        <v>04</v>
      </c>
      <c r="G24" s="4" t="s">
        <v>12</v>
      </c>
      <c r="H24" s="5">
        <v>0</v>
      </c>
      <c r="I24" s="6" t="s">
        <v>13</v>
      </c>
      <c r="J24" s="4">
        <f>SUMPRODUCT(--((A24=$A$3:$A$2785)*$H$3:$H$2785&gt;H24))+1</f>
        <v>21</v>
      </c>
    </row>
    <row r="25" s="1" customFormat="true" customHeight="true" spans="1:10">
      <c r="A25" s="4" t="str">
        <f t="shared" si="0"/>
        <v>001</v>
      </c>
      <c r="B25" s="4" t="s">
        <v>11</v>
      </c>
      <c r="C25" s="4" t="str">
        <f>"舒挺"</f>
        <v>舒挺</v>
      </c>
      <c r="D25" s="4" t="str">
        <f>"2021010108"</f>
        <v>2021010108</v>
      </c>
      <c r="E25" s="4" t="str">
        <f t="shared" si="3"/>
        <v>01</v>
      </c>
      <c r="F25" s="4" t="str">
        <f>"08"</f>
        <v>08</v>
      </c>
      <c r="G25" s="4" t="s">
        <v>12</v>
      </c>
      <c r="H25" s="5">
        <v>0</v>
      </c>
      <c r="I25" s="6" t="s">
        <v>13</v>
      </c>
      <c r="J25" s="4">
        <f>SUMPRODUCT(--((A25=$A$3:$A$2785)*$H$3:$H$2785&gt;H25))+1</f>
        <v>21</v>
      </c>
    </row>
    <row r="26" s="1" customFormat="true" customHeight="true" spans="1:10">
      <c r="A26" s="4" t="str">
        <f t="shared" si="0"/>
        <v>001</v>
      </c>
      <c r="B26" s="4" t="s">
        <v>11</v>
      </c>
      <c r="C26" s="4" t="str">
        <f>"杨惠钧"</f>
        <v>杨惠钧</v>
      </c>
      <c r="D26" s="4" t="str">
        <f>"2021010109"</f>
        <v>2021010109</v>
      </c>
      <c r="E26" s="4" t="str">
        <f t="shared" si="3"/>
        <v>01</v>
      </c>
      <c r="F26" s="4" t="str">
        <f>"09"</f>
        <v>09</v>
      </c>
      <c r="G26" s="4" t="s">
        <v>12</v>
      </c>
      <c r="H26" s="5">
        <v>0</v>
      </c>
      <c r="I26" s="6" t="s">
        <v>13</v>
      </c>
      <c r="J26" s="4">
        <f>SUMPRODUCT(--((A26=$A$3:$A$2785)*$H$3:$H$2785&gt;H26))+1</f>
        <v>21</v>
      </c>
    </row>
    <row r="27" s="1" customFormat="true" customHeight="true" spans="1:10">
      <c r="A27" s="4" t="str">
        <f t="shared" si="0"/>
        <v>001</v>
      </c>
      <c r="B27" s="4" t="s">
        <v>11</v>
      </c>
      <c r="C27" s="4" t="str">
        <f>"江萍"</f>
        <v>江萍</v>
      </c>
      <c r="D27" s="4" t="str">
        <f>"2021010110"</f>
        <v>2021010110</v>
      </c>
      <c r="E27" s="4" t="str">
        <f t="shared" si="3"/>
        <v>01</v>
      </c>
      <c r="F27" s="4" t="str">
        <f>"10"</f>
        <v>10</v>
      </c>
      <c r="G27" s="4" t="s">
        <v>12</v>
      </c>
      <c r="H27" s="5">
        <v>0</v>
      </c>
      <c r="I27" s="6" t="s">
        <v>13</v>
      </c>
      <c r="J27" s="4">
        <f>SUMPRODUCT(--((A27=$A$3:$A$2785)*$H$3:$H$2785&gt;H27))+1</f>
        <v>21</v>
      </c>
    </row>
    <row r="28" s="1" customFormat="true" customHeight="true" spans="1:10">
      <c r="A28" s="4" t="str">
        <f t="shared" si="0"/>
        <v>001</v>
      </c>
      <c r="B28" s="4" t="s">
        <v>11</v>
      </c>
      <c r="C28" s="4" t="str">
        <f>"田秘"</f>
        <v>田秘</v>
      </c>
      <c r="D28" s="4" t="str">
        <f>"2021010111"</f>
        <v>2021010111</v>
      </c>
      <c r="E28" s="4" t="str">
        <f t="shared" si="3"/>
        <v>01</v>
      </c>
      <c r="F28" s="4" t="str">
        <f>"11"</f>
        <v>11</v>
      </c>
      <c r="G28" s="4" t="s">
        <v>12</v>
      </c>
      <c r="H28" s="5">
        <v>0</v>
      </c>
      <c r="I28" s="6" t="s">
        <v>13</v>
      </c>
      <c r="J28" s="4">
        <f>SUMPRODUCT(--((A28=$A$3:$A$2785)*$H$3:$H$2785&gt;H28))+1</f>
        <v>21</v>
      </c>
    </row>
    <row r="29" s="1" customFormat="true" customHeight="true" spans="1:10">
      <c r="A29" s="4" t="str">
        <f t="shared" si="0"/>
        <v>001</v>
      </c>
      <c r="B29" s="4" t="s">
        <v>11</v>
      </c>
      <c r="C29" s="4" t="str">
        <f>"李佳慧"</f>
        <v>李佳慧</v>
      </c>
      <c r="D29" s="4" t="str">
        <f>"2021010113"</f>
        <v>2021010113</v>
      </c>
      <c r="E29" s="4" t="str">
        <f t="shared" si="3"/>
        <v>01</v>
      </c>
      <c r="F29" s="4" t="str">
        <f>"13"</f>
        <v>13</v>
      </c>
      <c r="G29" s="4" t="s">
        <v>12</v>
      </c>
      <c r="H29" s="5">
        <v>0</v>
      </c>
      <c r="I29" s="6" t="s">
        <v>13</v>
      </c>
      <c r="J29" s="4">
        <f>SUMPRODUCT(--((A29=$A$3:$A$2785)*$H$3:$H$2785&gt;H29))+1</f>
        <v>21</v>
      </c>
    </row>
    <row r="30" s="1" customFormat="true" customHeight="true" spans="1:10">
      <c r="A30" s="4" t="str">
        <f t="shared" si="0"/>
        <v>001</v>
      </c>
      <c r="B30" s="4" t="s">
        <v>11</v>
      </c>
      <c r="C30" s="4" t="str">
        <f>"张文静"</f>
        <v>张文静</v>
      </c>
      <c r="D30" s="4" t="str">
        <f>"2021010122"</f>
        <v>2021010122</v>
      </c>
      <c r="E30" s="4" t="str">
        <f t="shared" si="3"/>
        <v>01</v>
      </c>
      <c r="F30" s="4" t="str">
        <f>"22"</f>
        <v>22</v>
      </c>
      <c r="G30" s="4" t="s">
        <v>12</v>
      </c>
      <c r="H30" s="5">
        <v>0</v>
      </c>
      <c r="I30" s="6" t="s">
        <v>13</v>
      </c>
      <c r="J30" s="4">
        <f>SUMPRODUCT(--((A30=$A$3:$A$2785)*$H$3:$H$2785&gt;H30))+1</f>
        <v>21</v>
      </c>
    </row>
    <row r="31" s="1" customFormat="true" customHeight="true" spans="1:10">
      <c r="A31" s="4" t="str">
        <f t="shared" si="0"/>
        <v>001</v>
      </c>
      <c r="B31" s="4" t="s">
        <v>11</v>
      </c>
      <c r="C31" s="4" t="str">
        <f>"彭夏情"</f>
        <v>彭夏情</v>
      </c>
      <c r="D31" s="4" t="str">
        <f>"2021010123"</f>
        <v>2021010123</v>
      </c>
      <c r="E31" s="4" t="str">
        <f t="shared" si="3"/>
        <v>01</v>
      </c>
      <c r="F31" s="4" t="str">
        <f>"23"</f>
        <v>23</v>
      </c>
      <c r="G31" s="4" t="s">
        <v>12</v>
      </c>
      <c r="H31" s="5">
        <v>0</v>
      </c>
      <c r="I31" s="6" t="s">
        <v>13</v>
      </c>
      <c r="J31" s="4">
        <f>SUMPRODUCT(--((A31=$A$3:$A$2785)*$H$3:$H$2785&gt;H31))+1</f>
        <v>21</v>
      </c>
    </row>
    <row r="32" s="1" customFormat="true" customHeight="true" spans="1:10">
      <c r="A32" s="4" t="str">
        <f t="shared" si="0"/>
        <v>001</v>
      </c>
      <c r="B32" s="4" t="s">
        <v>11</v>
      </c>
      <c r="C32" s="4" t="str">
        <f>"彭丽烨"</f>
        <v>彭丽烨</v>
      </c>
      <c r="D32" s="4" t="str">
        <f>"2021010124"</f>
        <v>2021010124</v>
      </c>
      <c r="E32" s="4" t="str">
        <f t="shared" si="3"/>
        <v>01</v>
      </c>
      <c r="F32" s="4" t="str">
        <f>"24"</f>
        <v>24</v>
      </c>
      <c r="G32" s="4" t="s">
        <v>12</v>
      </c>
      <c r="H32" s="5">
        <v>0</v>
      </c>
      <c r="I32" s="6" t="s">
        <v>13</v>
      </c>
      <c r="J32" s="4">
        <f>SUMPRODUCT(--((A32=$A$3:$A$2785)*$H$3:$H$2785&gt;H32))+1</f>
        <v>21</v>
      </c>
    </row>
    <row r="33" s="1" customFormat="true" customHeight="true" spans="1:10">
      <c r="A33" s="4" t="str">
        <f t="shared" si="0"/>
        <v>001</v>
      </c>
      <c r="B33" s="4" t="s">
        <v>11</v>
      </c>
      <c r="C33" s="4" t="str">
        <f>"肖婷"</f>
        <v>肖婷</v>
      </c>
      <c r="D33" s="4" t="str">
        <f>"2021010126"</f>
        <v>2021010126</v>
      </c>
      <c r="E33" s="4" t="str">
        <f t="shared" si="3"/>
        <v>01</v>
      </c>
      <c r="F33" s="4" t="str">
        <f>"26"</f>
        <v>26</v>
      </c>
      <c r="G33" s="4" t="s">
        <v>12</v>
      </c>
      <c r="H33" s="5">
        <v>0</v>
      </c>
      <c r="I33" s="6" t="s">
        <v>13</v>
      </c>
      <c r="J33" s="4">
        <f>SUMPRODUCT(--((A33=$A$3:$A$2785)*$H$3:$H$2785&gt;H33))+1</f>
        <v>21</v>
      </c>
    </row>
    <row r="34" s="1" customFormat="true" customHeight="true" spans="1:10">
      <c r="A34" s="4" t="str">
        <f t="shared" si="0"/>
        <v>001</v>
      </c>
      <c r="B34" s="4" t="s">
        <v>11</v>
      </c>
      <c r="C34" s="4" t="str">
        <f>"滕梦知"</f>
        <v>滕梦知</v>
      </c>
      <c r="D34" s="4" t="str">
        <f>"2021010127"</f>
        <v>2021010127</v>
      </c>
      <c r="E34" s="4" t="str">
        <f t="shared" si="3"/>
        <v>01</v>
      </c>
      <c r="F34" s="4" t="str">
        <f>"27"</f>
        <v>27</v>
      </c>
      <c r="G34" s="4" t="s">
        <v>12</v>
      </c>
      <c r="H34" s="5">
        <v>0</v>
      </c>
      <c r="I34" s="6" t="s">
        <v>13</v>
      </c>
      <c r="J34" s="4">
        <f>SUMPRODUCT(--((A34=$A$3:$A$2785)*$H$3:$H$2785&gt;H34))+1</f>
        <v>21</v>
      </c>
    </row>
    <row r="35" s="1" customFormat="true" customHeight="true" spans="1:10">
      <c r="A35" s="4" t="str">
        <f t="shared" si="0"/>
        <v>001</v>
      </c>
      <c r="B35" s="4" t="s">
        <v>11</v>
      </c>
      <c r="C35" s="4" t="str">
        <f>"胡玉琦"</f>
        <v>胡玉琦</v>
      </c>
      <c r="D35" s="4" t="str">
        <f>"2021010129"</f>
        <v>2021010129</v>
      </c>
      <c r="E35" s="4" t="str">
        <f t="shared" si="3"/>
        <v>01</v>
      </c>
      <c r="F35" s="4" t="str">
        <f>"29"</f>
        <v>29</v>
      </c>
      <c r="G35" s="4" t="s">
        <v>12</v>
      </c>
      <c r="H35" s="5">
        <v>0</v>
      </c>
      <c r="I35" s="6" t="s">
        <v>13</v>
      </c>
      <c r="J35" s="4">
        <f>SUMPRODUCT(--((A35=$A$3:$A$2785)*$H$3:$H$2785&gt;H35))+1</f>
        <v>21</v>
      </c>
    </row>
    <row r="36" s="1" customFormat="true" customHeight="true" spans="1:10">
      <c r="A36" s="4" t="str">
        <f t="shared" si="0"/>
        <v>001</v>
      </c>
      <c r="B36" s="4" t="s">
        <v>11</v>
      </c>
      <c r="C36" s="4" t="str">
        <f>"袁文华"</f>
        <v>袁文华</v>
      </c>
      <c r="D36" s="4" t="str">
        <f>"2021010201"</f>
        <v>2021010201</v>
      </c>
      <c r="E36" s="4" t="str">
        <f t="shared" ref="E36:E40" si="4">"02"</f>
        <v>02</v>
      </c>
      <c r="F36" s="4" t="str">
        <f>"01"</f>
        <v>01</v>
      </c>
      <c r="G36" s="4" t="s">
        <v>12</v>
      </c>
      <c r="H36" s="5">
        <v>0</v>
      </c>
      <c r="I36" s="6" t="s">
        <v>13</v>
      </c>
      <c r="J36" s="4">
        <f>SUMPRODUCT(--((A36=$A$3:$A$2785)*$H$3:$H$2785&gt;H36))+1</f>
        <v>21</v>
      </c>
    </row>
    <row r="37" s="1" customFormat="true" customHeight="true" spans="1:10">
      <c r="A37" s="4" t="str">
        <f t="shared" si="0"/>
        <v>001</v>
      </c>
      <c r="B37" s="4" t="s">
        <v>11</v>
      </c>
      <c r="C37" s="4" t="str">
        <f>"张铁英"</f>
        <v>张铁英</v>
      </c>
      <c r="D37" s="4" t="str">
        <f>"2021010202"</f>
        <v>2021010202</v>
      </c>
      <c r="E37" s="4" t="str">
        <f t="shared" si="4"/>
        <v>02</v>
      </c>
      <c r="F37" s="4" t="str">
        <f>"02"</f>
        <v>02</v>
      </c>
      <c r="G37" s="4" t="s">
        <v>12</v>
      </c>
      <c r="H37" s="5">
        <v>0</v>
      </c>
      <c r="I37" s="6" t="s">
        <v>13</v>
      </c>
      <c r="J37" s="4">
        <f>SUMPRODUCT(--((A37=$A$3:$A$2785)*$H$3:$H$2785&gt;H37))+1</f>
        <v>21</v>
      </c>
    </row>
    <row r="38" s="1" customFormat="true" customHeight="true" spans="1:10">
      <c r="A38" s="4" t="str">
        <f t="shared" si="0"/>
        <v>001</v>
      </c>
      <c r="B38" s="4" t="s">
        <v>11</v>
      </c>
      <c r="C38" s="4" t="str">
        <f>"孙婷"</f>
        <v>孙婷</v>
      </c>
      <c r="D38" s="4" t="str">
        <f>"2021010204"</f>
        <v>2021010204</v>
      </c>
      <c r="E38" s="4" t="str">
        <f t="shared" si="4"/>
        <v>02</v>
      </c>
      <c r="F38" s="4" t="str">
        <f>"04"</f>
        <v>04</v>
      </c>
      <c r="G38" s="4" t="s">
        <v>12</v>
      </c>
      <c r="H38" s="5">
        <v>0</v>
      </c>
      <c r="I38" s="6" t="s">
        <v>13</v>
      </c>
      <c r="J38" s="4">
        <f>SUMPRODUCT(--((A38=$A$3:$A$2785)*$H$3:$H$2785&gt;H38))+1</f>
        <v>21</v>
      </c>
    </row>
    <row r="39" s="1" customFormat="true" customHeight="true" spans="1:10">
      <c r="A39" s="4" t="str">
        <f t="shared" si="0"/>
        <v>001</v>
      </c>
      <c r="B39" s="4" t="s">
        <v>11</v>
      </c>
      <c r="C39" s="4" t="str">
        <f>"张娜"</f>
        <v>张娜</v>
      </c>
      <c r="D39" s="4" t="str">
        <f>"2021010205"</f>
        <v>2021010205</v>
      </c>
      <c r="E39" s="4" t="str">
        <f t="shared" si="4"/>
        <v>02</v>
      </c>
      <c r="F39" s="4" t="str">
        <f>"05"</f>
        <v>05</v>
      </c>
      <c r="G39" s="4" t="s">
        <v>12</v>
      </c>
      <c r="H39" s="5">
        <v>0</v>
      </c>
      <c r="I39" s="6" t="s">
        <v>13</v>
      </c>
      <c r="J39" s="4">
        <f>SUMPRODUCT(--((A39=$A$3:$A$2785)*$H$3:$H$2785&gt;H39))+1</f>
        <v>21</v>
      </c>
    </row>
    <row r="40" s="1" customFormat="true" customHeight="true" spans="1:10">
      <c r="A40" s="4" t="str">
        <f t="shared" si="0"/>
        <v>001</v>
      </c>
      <c r="B40" s="4" t="s">
        <v>11</v>
      </c>
      <c r="C40" s="4" t="str">
        <f>"袁仕苹"</f>
        <v>袁仕苹</v>
      </c>
      <c r="D40" s="4" t="str">
        <f>"2021010208"</f>
        <v>2021010208</v>
      </c>
      <c r="E40" s="4" t="str">
        <f t="shared" si="4"/>
        <v>02</v>
      </c>
      <c r="F40" s="4" t="str">
        <f>"08"</f>
        <v>08</v>
      </c>
      <c r="G40" s="4" t="s">
        <v>12</v>
      </c>
      <c r="H40" s="5">
        <v>0</v>
      </c>
      <c r="I40" s="6" t="s">
        <v>13</v>
      </c>
      <c r="J40" s="4">
        <f>SUMPRODUCT(--((A40=$A$3:$A$2785)*$H$3:$H$2785&gt;H40))+1</f>
        <v>21</v>
      </c>
    </row>
    <row r="41" s="1" customFormat="true" customHeight="true" spans="1:10">
      <c r="A41" s="4" t="str">
        <f t="shared" ref="A41:A47" si="5">"002"</f>
        <v>002</v>
      </c>
      <c r="B41" s="4" t="s">
        <v>14</v>
      </c>
      <c r="C41" s="4" t="str">
        <f>"张璟萌"</f>
        <v>张璟萌</v>
      </c>
      <c r="D41" s="4" t="str">
        <f>"2021012316"</f>
        <v>2021012316</v>
      </c>
      <c r="E41" s="4" t="str">
        <f t="shared" ref="E41:E47" si="6">"23"</f>
        <v>23</v>
      </c>
      <c r="F41" s="4" t="str">
        <f>"16"</f>
        <v>16</v>
      </c>
      <c r="G41" s="4" t="s">
        <v>12</v>
      </c>
      <c r="H41" s="5">
        <v>69.5</v>
      </c>
      <c r="I41" s="4"/>
      <c r="J41" s="4">
        <f>SUMPRODUCT(--((A41=$A$3:$A$2785)*$H$3:$H$2785&gt;H41))+1</f>
        <v>1</v>
      </c>
    </row>
    <row r="42" s="1" customFormat="true" customHeight="true" spans="1:10">
      <c r="A42" s="4" t="str">
        <f t="shared" si="5"/>
        <v>002</v>
      </c>
      <c r="B42" s="4" t="s">
        <v>14</v>
      </c>
      <c r="C42" s="4" t="str">
        <f>"向雄志"</f>
        <v>向雄志</v>
      </c>
      <c r="D42" s="4" t="str">
        <f>"2021012320"</f>
        <v>2021012320</v>
      </c>
      <c r="E42" s="4" t="str">
        <f t="shared" si="6"/>
        <v>23</v>
      </c>
      <c r="F42" s="4" t="str">
        <f>"20"</f>
        <v>20</v>
      </c>
      <c r="G42" s="4" t="s">
        <v>12</v>
      </c>
      <c r="H42" s="5">
        <v>62</v>
      </c>
      <c r="I42" s="4"/>
      <c r="J42" s="4">
        <f>SUMPRODUCT(--((A42=$A$3:$A$2785)*$H$3:$H$2785&gt;H42))+1</f>
        <v>2</v>
      </c>
    </row>
    <row r="43" s="1" customFormat="true" customHeight="true" spans="1:10">
      <c r="A43" s="4" t="str">
        <f t="shared" si="5"/>
        <v>002</v>
      </c>
      <c r="B43" s="4" t="s">
        <v>14</v>
      </c>
      <c r="C43" s="4" t="str">
        <f>"谌谋波"</f>
        <v>谌谋波</v>
      </c>
      <c r="D43" s="4" t="str">
        <f>"2021012318"</f>
        <v>2021012318</v>
      </c>
      <c r="E43" s="4" t="str">
        <f t="shared" si="6"/>
        <v>23</v>
      </c>
      <c r="F43" s="4" t="str">
        <f>"18"</f>
        <v>18</v>
      </c>
      <c r="G43" s="4" t="s">
        <v>12</v>
      </c>
      <c r="H43" s="5">
        <v>61.5</v>
      </c>
      <c r="I43" s="4"/>
      <c r="J43" s="4">
        <f>SUMPRODUCT(--((A43=$A$3:$A$2785)*$H$3:$H$2785&gt;H43))+1</f>
        <v>3</v>
      </c>
    </row>
    <row r="44" s="1" customFormat="true" customHeight="true" spans="1:10">
      <c r="A44" s="4" t="str">
        <f t="shared" si="5"/>
        <v>002</v>
      </c>
      <c r="B44" s="4" t="s">
        <v>14</v>
      </c>
      <c r="C44" s="4" t="str">
        <f>"李军"</f>
        <v>李军</v>
      </c>
      <c r="D44" s="4" t="str">
        <f>"2021012314"</f>
        <v>2021012314</v>
      </c>
      <c r="E44" s="4" t="str">
        <f t="shared" si="6"/>
        <v>23</v>
      </c>
      <c r="F44" s="4" t="str">
        <f>"14"</f>
        <v>14</v>
      </c>
      <c r="G44" s="4" t="s">
        <v>12</v>
      </c>
      <c r="H44" s="5">
        <v>0</v>
      </c>
      <c r="I44" s="6" t="s">
        <v>13</v>
      </c>
      <c r="J44" s="4">
        <f>SUMPRODUCT(--((A44=$A$3:$A$2785)*$H$3:$H$2785&gt;H44))+1</f>
        <v>4</v>
      </c>
    </row>
    <row r="45" s="1" customFormat="true" customHeight="true" spans="1:10">
      <c r="A45" s="4" t="str">
        <f t="shared" si="5"/>
        <v>002</v>
      </c>
      <c r="B45" s="4" t="s">
        <v>14</v>
      </c>
      <c r="C45" s="4" t="str">
        <f>"周慧萍"</f>
        <v>周慧萍</v>
      </c>
      <c r="D45" s="4" t="str">
        <f>"2021012315"</f>
        <v>2021012315</v>
      </c>
      <c r="E45" s="4" t="str">
        <f t="shared" si="6"/>
        <v>23</v>
      </c>
      <c r="F45" s="4" t="str">
        <f>"15"</f>
        <v>15</v>
      </c>
      <c r="G45" s="4" t="s">
        <v>12</v>
      </c>
      <c r="H45" s="5">
        <v>0</v>
      </c>
      <c r="I45" s="6" t="s">
        <v>13</v>
      </c>
      <c r="J45" s="4">
        <f>SUMPRODUCT(--((A45=$A$3:$A$2785)*$H$3:$H$2785&gt;H45))+1</f>
        <v>4</v>
      </c>
    </row>
    <row r="46" s="1" customFormat="true" customHeight="true" spans="1:10">
      <c r="A46" s="4" t="str">
        <f t="shared" si="5"/>
        <v>002</v>
      </c>
      <c r="B46" s="4" t="s">
        <v>14</v>
      </c>
      <c r="C46" s="4" t="str">
        <f>"龙世地"</f>
        <v>龙世地</v>
      </c>
      <c r="D46" s="4" t="str">
        <f>"2021012317"</f>
        <v>2021012317</v>
      </c>
      <c r="E46" s="4" t="str">
        <f t="shared" si="6"/>
        <v>23</v>
      </c>
      <c r="F46" s="4" t="str">
        <f>"17"</f>
        <v>17</v>
      </c>
      <c r="G46" s="4" t="s">
        <v>12</v>
      </c>
      <c r="H46" s="5">
        <v>0</v>
      </c>
      <c r="I46" s="6" t="s">
        <v>13</v>
      </c>
      <c r="J46" s="4">
        <f>SUMPRODUCT(--((A46=$A$3:$A$2785)*$H$3:$H$2785&gt;H46))+1</f>
        <v>4</v>
      </c>
    </row>
    <row r="47" s="1" customFormat="true" customHeight="true" spans="1:10">
      <c r="A47" s="4" t="str">
        <f t="shared" si="5"/>
        <v>002</v>
      </c>
      <c r="B47" s="4" t="s">
        <v>14</v>
      </c>
      <c r="C47" s="4" t="str">
        <f>"陈甜"</f>
        <v>陈甜</v>
      </c>
      <c r="D47" s="4" t="str">
        <f>"2021012319"</f>
        <v>2021012319</v>
      </c>
      <c r="E47" s="4" t="str">
        <f t="shared" si="6"/>
        <v>23</v>
      </c>
      <c r="F47" s="4" t="str">
        <f>"19"</f>
        <v>19</v>
      </c>
      <c r="G47" s="4" t="s">
        <v>12</v>
      </c>
      <c r="H47" s="5">
        <v>0</v>
      </c>
      <c r="I47" s="6" t="s">
        <v>13</v>
      </c>
      <c r="J47" s="4">
        <f>SUMPRODUCT(--((A47=$A$3:$A$2785)*$H$3:$H$2785&gt;H47))+1</f>
        <v>4</v>
      </c>
    </row>
    <row r="48" s="1" customFormat="true" customHeight="true" spans="1:10">
      <c r="A48" s="4" t="str">
        <f t="shared" ref="A48:A98" si="7">"004"</f>
        <v>004</v>
      </c>
      <c r="B48" s="4" t="s">
        <v>15</v>
      </c>
      <c r="C48" s="4" t="str">
        <f>"林俊艳"</f>
        <v>林俊艳</v>
      </c>
      <c r="D48" s="4" t="str">
        <f>"2021013514"</f>
        <v>2021013514</v>
      </c>
      <c r="E48" s="4" t="str">
        <f>"35"</f>
        <v>35</v>
      </c>
      <c r="F48" s="4" t="str">
        <f>"14"</f>
        <v>14</v>
      </c>
      <c r="G48" s="4" t="s">
        <v>12</v>
      </c>
      <c r="H48" s="5">
        <v>87</v>
      </c>
      <c r="I48" s="4"/>
      <c r="J48" s="4">
        <f>SUMPRODUCT(--((A48=$A$3:$A$2785)*$H$3:$H$2785&gt;H48))+1</f>
        <v>1</v>
      </c>
    </row>
    <row r="49" s="1" customFormat="true" customHeight="true" spans="1:10">
      <c r="A49" s="4" t="str">
        <f t="shared" si="7"/>
        <v>004</v>
      </c>
      <c r="B49" s="4" t="s">
        <v>15</v>
      </c>
      <c r="C49" s="4" t="str">
        <f>"龙岭伶"</f>
        <v>龙岭伶</v>
      </c>
      <c r="D49" s="4" t="str">
        <f>"2021013328"</f>
        <v>2021013328</v>
      </c>
      <c r="E49" s="4" t="str">
        <f>"33"</f>
        <v>33</v>
      </c>
      <c r="F49" s="4" t="str">
        <f>"28"</f>
        <v>28</v>
      </c>
      <c r="G49" s="4" t="s">
        <v>12</v>
      </c>
      <c r="H49" s="5">
        <v>85.25</v>
      </c>
      <c r="I49" s="4"/>
      <c r="J49" s="4">
        <f>SUMPRODUCT(--((A49=$A$3:$A$2785)*$H$3:$H$2785&gt;H49))+1</f>
        <v>2</v>
      </c>
    </row>
    <row r="50" s="1" customFormat="true" customHeight="true" spans="1:10">
      <c r="A50" s="4" t="str">
        <f t="shared" si="7"/>
        <v>004</v>
      </c>
      <c r="B50" s="4" t="s">
        <v>15</v>
      </c>
      <c r="C50" s="4" t="str">
        <f>"卢奕霖"</f>
        <v>卢奕霖</v>
      </c>
      <c r="D50" s="4" t="str">
        <f>"2021013325"</f>
        <v>2021013325</v>
      </c>
      <c r="E50" s="4" t="str">
        <f>"33"</f>
        <v>33</v>
      </c>
      <c r="F50" s="4" t="str">
        <f>"25"</f>
        <v>25</v>
      </c>
      <c r="G50" s="4" t="s">
        <v>12</v>
      </c>
      <c r="H50" s="5">
        <v>81.75</v>
      </c>
      <c r="I50" s="4"/>
      <c r="J50" s="4">
        <f>SUMPRODUCT(--((A50=$A$3:$A$2785)*$H$3:$H$2785&gt;H50))+1</f>
        <v>3</v>
      </c>
    </row>
    <row r="51" s="1" customFormat="true" customHeight="true" spans="1:10">
      <c r="A51" s="4" t="str">
        <f t="shared" si="7"/>
        <v>004</v>
      </c>
      <c r="B51" s="4" t="s">
        <v>15</v>
      </c>
      <c r="C51" s="4" t="str">
        <f>"舒秀花"</f>
        <v>舒秀花</v>
      </c>
      <c r="D51" s="4" t="str">
        <f>"2021013414"</f>
        <v>2021013414</v>
      </c>
      <c r="E51" s="4" t="str">
        <f t="shared" ref="E51:E55" si="8">"34"</f>
        <v>34</v>
      </c>
      <c r="F51" s="4" t="str">
        <f>"14"</f>
        <v>14</v>
      </c>
      <c r="G51" s="4" t="s">
        <v>12</v>
      </c>
      <c r="H51" s="5">
        <v>81.75</v>
      </c>
      <c r="I51" s="4"/>
      <c r="J51" s="4">
        <f>SUMPRODUCT(--((A51=$A$3:$A$2785)*$H$3:$H$2785&gt;H51))+1</f>
        <v>3</v>
      </c>
    </row>
    <row r="52" s="1" customFormat="true" customHeight="true" spans="1:10">
      <c r="A52" s="4" t="str">
        <f t="shared" si="7"/>
        <v>004</v>
      </c>
      <c r="B52" s="4" t="s">
        <v>15</v>
      </c>
      <c r="C52" s="4" t="str">
        <f>"彭珮容"</f>
        <v>彭珮容</v>
      </c>
      <c r="D52" s="4" t="str">
        <f>"2021013411"</f>
        <v>2021013411</v>
      </c>
      <c r="E52" s="4" t="str">
        <f t="shared" si="8"/>
        <v>34</v>
      </c>
      <c r="F52" s="4" t="str">
        <f>"11"</f>
        <v>11</v>
      </c>
      <c r="G52" s="4" t="s">
        <v>12</v>
      </c>
      <c r="H52" s="5">
        <v>81</v>
      </c>
      <c r="I52" s="4"/>
      <c r="J52" s="4">
        <f>SUMPRODUCT(--((A52=$A$3:$A$2785)*$H$3:$H$2785&gt;H52))+1</f>
        <v>5</v>
      </c>
    </row>
    <row r="53" s="1" customFormat="true" customHeight="true" spans="1:10">
      <c r="A53" s="4" t="str">
        <f t="shared" si="7"/>
        <v>004</v>
      </c>
      <c r="B53" s="4" t="s">
        <v>15</v>
      </c>
      <c r="C53" s="4" t="str">
        <f>"赵胜楠"</f>
        <v>赵胜楠</v>
      </c>
      <c r="D53" s="4" t="str">
        <f>"2021013504"</f>
        <v>2021013504</v>
      </c>
      <c r="E53" s="4" t="str">
        <f t="shared" ref="E53:E57" si="9">"35"</f>
        <v>35</v>
      </c>
      <c r="F53" s="4" t="str">
        <f>"04"</f>
        <v>04</v>
      </c>
      <c r="G53" s="4" t="s">
        <v>12</v>
      </c>
      <c r="H53" s="5">
        <v>80.75</v>
      </c>
      <c r="I53" s="4"/>
      <c r="J53" s="4">
        <f>SUMPRODUCT(--((A53=$A$3:$A$2785)*$H$3:$H$2785&gt;H53))+1</f>
        <v>6</v>
      </c>
    </row>
    <row r="54" s="1" customFormat="true" customHeight="true" spans="1:10">
      <c r="A54" s="4" t="str">
        <f t="shared" si="7"/>
        <v>004</v>
      </c>
      <c r="B54" s="4" t="s">
        <v>15</v>
      </c>
      <c r="C54" s="4" t="str">
        <f>"杨彤"</f>
        <v>杨彤</v>
      </c>
      <c r="D54" s="4" t="str">
        <f>"2021013502"</f>
        <v>2021013502</v>
      </c>
      <c r="E54" s="4" t="str">
        <f t="shared" si="9"/>
        <v>35</v>
      </c>
      <c r="F54" s="4" t="str">
        <f>"02"</f>
        <v>02</v>
      </c>
      <c r="G54" s="4" t="s">
        <v>12</v>
      </c>
      <c r="H54" s="5">
        <v>80</v>
      </c>
      <c r="I54" s="4"/>
      <c r="J54" s="4">
        <f>SUMPRODUCT(--((A54=$A$3:$A$2785)*$H$3:$H$2785&gt;H54))+1</f>
        <v>7</v>
      </c>
    </row>
    <row r="55" s="1" customFormat="true" customHeight="true" spans="1:10">
      <c r="A55" s="4" t="str">
        <f t="shared" si="7"/>
        <v>004</v>
      </c>
      <c r="B55" s="4" t="s">
        <v>15</v>
      </c>
      <c r="C55" s="4" t="str">
        <f>"张丹"</f>
        <v>张丹</v>
      </c>
      <c r="D55" s="4" t="str">
        <f>"2021013405"</f>
        <v>2021013405</v>
      </c>
      <c r="E55" s="4" t="str">
        <f t="shared" si="8"/>
        <v>34</v>
      </c>
      <c r="F55" s="4" t="str">
        <f>"05"</f>
        <v>05</v>
      </c>
      <c r="G55" s="4" t="s">
        <v>12</v>
      </c>
      <c r="H55" s="5">
        <v>79.5</v>
      </c>
      <c r="I55" s="4"/>
      <c r="J55" s="4">
        <f>SUMPRODUCT(--((A55=$A$3:$A$2785)*$H$3:$H$2785&gt;H55))+1</f>
        <v>8</v>
      </c>
    </row>
    <row r="56" s="1" customFormat="true" customHeight="true" spans="1:10">
      <c r="A56" s="4" t="str">
        <f t="shared" si="7"/>
        <v>004</v>
      </c>
      <c r="B56" s="4" t="s">
        <v>15</v>
      </c>
      <c r="C56" s="4" t="str">
        <f>"李璐"</f>
        <v>李璐</v>
      </c>
      <c r="D56" s="4" t="str">
        <f>"2021013509"</f>
        <v>2021013509</v>
      </c>
      <c r="E56" s="4" t="str">
        <f t="shared" si="9"/>
        <v>35</v>
      </c>
      <c r="F56" s="4" t="str">
        <f>"09"</f>
        <v>09</v>
      </c>
      <c r="G56" s="4" t="s">
        <v>12</v>
      </c>
      <c r="H56" s="5">
        <v>79.25</v>
      </c>
      <c r="I56" s="4"/>
      <c r="J56" s="4">
        <f>SUMPRODUCT(--((A56=$A$3:$A$2785)*$H$3:$H$2785&gt;H56))+1</f>
        <v>9</v>
      </c>
    </row>
    <row r="57" s="1" customFormat="true" customHeight="true" spans="1:10">
      <c r="A57" s="4" t="str">
        <f t="shared" si="7"/>
        <v>004</v>
      </c>
      <c r="B57" s="4" t="s">
        <v>15</v>
      </c>
      <c r="C57" s="4" t="str">
        <f>"吴昭汝"</f>
        <v>吴昭汝</v>
      </c>
      <c r="D57" s="4" t="str">
        <f>"2021013503"</f>
        <v>2021013503</v>
      </c>
      <c r="E57" s="4" t="str">
        <f t="shared" si="9"/>
        <v>35</v>
      </c>
      <c r="F57" s="4" t="str">
        <f>"03"</f>
        <v>03</v>
      </c>
      <c r="G57" s="4" t="s">
        <v>12</v>
      </c>
      <c r="H57" s="5">
        <v>79</v>
      </c>
      <c r="I57" s="4"/>
      <c r="J57" s="4">
        <f>SUMPRODUCT(--((A57=$A$3:$A$2785)*$H$3:$H$2785&gt;H57))+1</f>
        <v>10</v>
      </c>
    </row>
    <row r="58" s="1" customFormat="true" customHeight="true" spans="1:10">
      <c r="A58" s="4" t="str">
        <f t="shared" si="7"/>
        <v>004</v>
      </c>
      <c r="B58" s="4" t="s">
        <v>15</v>
      </c>
      <c r="C58" s="4" t="str">
        <f>"彭秀娟"</f>
        <v>彭秀娟</v>
      </c>
      <c r="D58" s="4" t="str">
        <f>"2021013424"</f>
        <v>2021013424</v>
      </c>
      <c r="E58" s="4" t="str">
        <f t="shared" ref="E58:E63" si="10">"34"</f>
        <v>34</v>
      </c>
      <c r="F58" s="4" t="str">
        <f>"24"</f>
        <v>24</v>
      </c>
      <c r="G58" s="4" t="s">
        <v>12</v>
      </c>
      <c r="H58" s="5">
        <v>78.75</v>
      </c>
      <c r="I58" s="4"/>
      <c r="J58" s="4">
        <f>SUMPRODUCT(--((A58=$A$3:$A$2785)*$H$3:$H$2785&gt;H58))+1</f>
        <v>11</v>
      </c>
    </row>
    <row r="59" s="1" customFormat="true" customHeight="true" spans="1:10">
      <c r="A59" s="4" t="str">
        <f t="shared" si="7"/>
        <v>004</v>
      </c>
      <c r="B59" s="4" t="s">
        <v>15</v>
      </c>
      <c r="C59" s="4" t="str">
        <f>"邹爱兰"</f>
        <v>邹爱兰</v>
      </c>
      <c r="D59" s="4" t="str">
        <f>"2021013508"</f>
        <v>2021013508</v>
      </c>
      <c r="E59" s="4" t="str">
        <f>"35"</f>
        <v>35</v>
      </c>
      <c r="F59" s="4" t="str">
        <f>"08"</f>
        <v>08</v>
      </c>
      <c r="G59" s="4" t="s">
        <v>12</v>
      </c>
      <c r="H59" s="5">
        <v>78.25</v>
      </c>
      <c r="I59" s="4"/>
      <c r="J59" s="4">
        <f>SUMPRODUCT(--((A59=$A$3:$A$2785)*$H$3:$H$2785&gt;H59))+1</f>
        <v>12</v>
      </c>
    </row>
    <row r="60" s="1" customFormat="true" customHeight="true" spans="1:10">
      <c r="A60" s="4" t="str">
        <f t="shared" si="7"/>
        <v>004</v>
      </c>
      <c r="B60" s="4" t="s">
        <v>15</v>
      </c>
      <c r="C60" s="4" t="str">
        <f>"明雨阳"</f>
        <v>明雨阳</v>
      </c>
      <c r="D60" s="4" t="str">
        <f>"2021013402"</f>
        <v>2021013402</v>
      </c>
      <c r="E60" s="4" t="str">
        <f t="shared" si="10"/>
        <v>34</v>
      </c>
      <c r="F60" s="4" t="str">
        <f>"02"</f>
        <v>02</v>
      </c>
      <c r="G60" s="4" t="s">
        <v>12</v>
      </c>
      <c r="H60" s="5">
        <v>77</v>
      </c>
      <c r="I60" s="4"/>
      <c r="J60" s="4">
        <f>SUMPRODUCT(--((A60=$A$3:$A$2785)*$H$3:$H$2785&gt;H60))+1</f>
        <v>13</v>
      </c>
    </row>
    <row r="61" s="1" customFormat="true" customHeight="true" spans="1:10">
      <c r="A61" s="4" t="str">
        <f t="shared" si="7"/>
        <v>004</v>
      </c>
      <c r="B61" s="4" t="s">
        <v>15</v>
      </c>
      <c r="C61" s="4" t="str">
        <f>"龙雪芝"</f>
        <v>龙雪芝</v>
      </c>
      <c r="D61" s="4" t="str">
        <f>"2021013505"</f>
        <v>2021013505</v>
      </c>
      <c r="E61" s="4" t="str">
        <f>"35"</f>
        <v>35</v>
      </c>
      <c r="F61" s="4" t="str">
        <f>"05"</f>
        <v>05</v>
      </c>
      <c r="G61" s="4" t="s">
        <v>12</v>
      </c>
      <c r="H61" s="5">
        <v>77</v>
      </c>
      <c r="I61" s="4"/>
      <c r="J61" s="4">
        <f>SUMPRODUCT(--((A61=$A$3:$A$2785)*$H$3:$H$2785&gt;H61))+1</f>
        <v>13</v>
      </c>
    </row>
    <row r="62" s="1" customFormat="true" customHeight="true" spans="1:10">
      <c r="A62" s="4" t="str">
        <f t="shared" si="7"/>
        <v>004</v>
      </c>
      <c r="B62" s="4" t="s">
        <v>15</v>
      </c>
      <c r="C62" s="4" t="str">
        <f>"林一鸣"</f>
        <v>林一鸣</v>
      </c>
      <c r="D62" s="4" t="str">
        <f>"2021013429"</f>
        <v>2021013429</v>
      </c>
      <c r="E62" s="4" t="str">
        <f t="shared" si="10"/>
        <v>34</v>
      </c>
      <c r="F62" s="4" t="str">
        <f>"29"</f>
        <v>29</v>
      </c>
      <c r="G62" s="4" t="s">
        <v>12</v>
      </c>
      <c r="H62" s="5">
        <v>76.75</v>
      </c>
      <c r="I62" s="4"/>
      <c r="J62" s="4">
        <f>SUMPRODUCT(--((A62=$A$3:$A$2785)*$H$3:$H$2785&gt;H62))+1</f>
        <v>15</v>
      </c>
    </row>
    <row r="63" s="1" customFormat="true" customHeight="true" spans="1:10">
      <c r="A63" s="4" t="str">
        <f t="shared" si="7"/>
        <v>004</v>
      </c>
      <c r="B63" s="4" t="s">
        <v>15</v>
      </c>
      <c r="C63" s="4" t="str">
        <f>"罗曼妮"</f>
        <v>罗曼妮</v>
      </c>
      <c r="D63" s="4" t="str">
        <f>"2021013430"</f>
        <v>2021013430</v>
      </c>
      <c r="E63" s="4" t="str">
        <f t="shared" si="10"/>
        <v>34</v>
      </c>
      <c r="F63" s="4" t="str">
        <f>"30"</f>
        <v>30</v>
      </c>
      <c r="G63" s="4" t="s">
        <v>12</v>
      </c>
      <c r="H63" s="5">
        <v>75.5</v>
      </c>
      <c r="I63" s="4"/>
      <c r="J63" s="4">
        <f>SUMPRODUCT(--((A63=$A$3:$A$2785)*$H$3:$H$2785&gt;H63))+1</f>
        <v>16</v>
      </c>
    </row>
    <row r="64" s="1" customFormat="true" customHeight="true" spans="1:10">
      <c r="A64" s="4" t="str">
        <f t="shared" si="7"/>
        <v>004</v>
      </c>
      <c r="B64" s="4" t="s">
        <v>15</v>
      </c>
      <c r="C64" s="4" t="str">
        <f>"李美君"</f>
        <v>李美君</v>
      </c>
      <c r="D64" s="4" t="str">
        <f>"2021013324"</f>
        <v>2021013324</v>
      </c>
      <c r="E64" s="4" t="str">
        <f>"33"</f>
        <v>33</v>
      </c>
      <c r="F64" s="4" t="str">
        <f>"24"</f>
        <v>24</v>
      </c>
      <c r="G64" s="4" t="s">
        <v>12</v>
      </c>
      <c r="H64" s="5">
        <v>75</v>
      </c>
      <c r="I64" s="4"/>
      <c r="J64" s="4">
        <f>SUMPRODUCT(--((A64=$A$3:$A$2785)*$H$3:$H$2785&gt;H64))+1</f>
        <v>17</v>
      </c>
    </row>
    <row r="65" s="1" customFormat="true" customHeight="true" spans="1:10">
      <c r="A65" s="4" t="str">
        <f t="shared" si="7"/>
        <v>004</v>
      </c>
      <c r="B65" s="4" t="s">
        <v>15</v>
      </c>
      <c r="C65" s="4" t="str">
        <f>"赵佳"</f>
        <v>赵佳</v>
      </c>
      <c r="D65" s="4" t="str">
        <f>"2021013507"</f>
        <v>2021013507</v>
      </c>
      <c r="E65" s="4" t="str">
        <f>"35"</f>
        <v>35</v>
      </c>
      <c r="F65" s="4" t="str">
        <f>"07"</f>
        <v>07</v>
      </c>
      <c r="G65" s="4" t="s">
        <v>12</v>
      </c>
      <c r="H65" s="5">
        <v>74</v>
      </c>
      <c r="I65" s="4"/>
      <c r="J65" s="4">
        <f>SUMPRODUCT(--((A65=$A$3:$A$2785)*$H$3:$H$2785&gt;H65))+1</f>
        <v>18</v>
      </c>
    </row>
    <row r="66" s="1" customFormat="true" customHeight="true" spans="1:10">
      <c r="A66" s="4" t="str">
        <f t="shared" si="7"/>
        <v>004</v>
      </c>
      <c r="B66" s="4" t="s">
        <v>15</v>
      </c>
      <c r="C66" s="4" t="str">
        <f>"唐桂梅"</f>
        <v>唐桂梅</v>
      </c>
      <c r="D66" s="4" t="str">
        <f>"2021013330"</f>
        <v>2021013330</v>
      </c>
      <c r="E66" s="4" t="str">
        <f t="shared" ref="E66:E72" si="11">"33"</f>
        <v>33</v>
      </c>
      <c r="F66" s="4" t="str">
        <f>"30"</f>
        <v>30</v>
      </c>
      <c r="G66" s="4" t="s">
        <v>12</v>
      </c>
      <c r="H66" s="5">
        <v>73.5</v>
      </c>
      <c r="I66" s="4"/>
      <c r="J66" s="4">
        <f>SUMPRODUCT(--((A66=$A$3:$A$2785)*$H$3:$H$2785&gt;H66))+1</f>
        <v>19</v>
      </c>
    </row>
    <row r="67" s="1" customFormat="true" customHeight="true" spans="1:10">
      <c r="A67" s="4" t="str">
        <f t="shared" si="7"/>
        <v>004</v>
      </c>
      <c r="B67" s="4" t="s">
        <v>15</v>
      </c>
      <c r="C67" s="4" t="str">
        <f>"向香宇"</f>
        <v>向香宇</v>
      </c>
      <c r="D67" s="4" t="str">
        <f>"2021013419"</f>
        <v>2021013419</v>
      </c>
      <c r="E67" s="4" t="str">
        <f>"34"</f>
        <v>34</v>
      </c>
      <c r="F67" s="4" t="str">
        <f>"19"</f>
        <v>19</v>
      </c>
      <c r="G67" s="4" t="s">
        <v>12</v>
      </c>
      <c r="H67" s="5">
        <v>72.25</v>
      </c>
      <c r="I67" s="4"/>
      <c r="J67" s="4">
        <f>SUMPRODUCT(--((A67=$A$3:$A$2785)*$H$3:$H$2785&gt;H67))+1</f>
        <v>20</v>
      </c>
    </row>
    <row r="68" s="1" customFormat="true" customHeight="true" spans="1:10">
      <c r="A68" s="4" t="str">
        <f t="shared" si="7"/>
        <v>004</v>
      </c>
      <c r="B68" s="4" t="s">
        <v>15</v>
      </c>
      <c r="C68" s="4" t="str">
        <f>"黄文君"</f>
        <v>黄文君</v>
      </c>
      <c r="D68" s="4" t="str">
        <f>"2021013428"</f>
        <v>2021013428</v>
      </c>
      <c r="E68" s="4" t="str">
        <f>"34"</f>
        <v>34</v>
      </c>
      <c r="F68" s="4" t="str">
        <f>"28"</f>
        <v>28</v>
      </c>
      <c r="G68" s="4" t="s">
        <v>12</v>
      </c>
      <c r="H68" s="5">
        <v>70.75</v>
      </c>
      <c r="I68" s="4"/>
      <c r="J68" s="4">
        <f>SUMPRODUCT(--((A68=$A$3:$A$2785)*$H$3:$H$2785&gt;H68))+1</f>
        <v>21</v>
      </c>
    </row>
    <row r="69" s="1" customFormat="true" customHeight="true" spans="1:10">
      <c r="A69" s="4" t="str">
        <f t="shared" si="7"/>
        <v>004</v>
      </c>
      <c r="B69" s="4" t="s">
        <v>15</v>
      </c>
      <c r="C69" s="4" t="str">
        <f>"宋鸿雁"</f>
        <v>宋鸿雁</v>
      </c>
      <c r="D69" s="4" t="str">
        <f>"2021013501"</f>
        <v>2021013501</v>
      </c>
      <c r="E69" s="4" t="str">
        <f>"35"</f>
        <v>35</v>
      </c>
      <c r="F69" s="4" t="str">
        <f>"01"</f>
        <v>01</v>
      </c>
      <c r="G69" s="4" t="s">
        <v>12</v>
      </c>
      <c r="H69" s="5">
        <v>68.5</v>
      </c>
      <c r="I69" s="4"/>
      <c r="J69" s="4">
        <f>SUMPRODUCT(--((A69=$A$3:$A$2785)*$H$3:$H$2785&gt;H69))+1</f>
        <v>22</v>
      </c>
    </row>
    <row r="70" s="1" customFormat="true" customHeight="true" spans="1:10">
      <c r="A70" s="4" t="str">
        <f t="shared" si="7"/>
        <v>004</v>
      </c>
      <c r="B70" s="4" t="s">
        <v>15</v>
      </c>
      <c r="C70" s="4" t="str">
        <f>"梁亮"</f>
        <v>梁亮</v>
      </c>
      <c r="D70" s="4" t="str">
        <f>"2021013326"</f>
        <v>2021013326</v>
      </c>
      <c r="E70" s="4" t="str">
        <f t="shared" si="11"/>
        <v>33</v>
      </c>
      <c r="F70" s="4" t="str">
        <f>"26"</f>
        <v>26</v>
      </c>
      <c r="G70" s="4" t="s">
        <v>12</v>
      </c>
      <c r="H70" s="5">
        <v>0</v>
      </c>
      <c r="I70" s="6" t="s">
        <v>13</v>
      </c>
      <c r="J70" s="4">
        <f>SUMPRODUCT(--((A70=$A$3:$A$2785)*$H$3:$H$2785&gt;H70))+1</f>
        <v>23</v>
      </c>
    </row>
    <row r="71" s="1" customFormat="true" customHeight="true" spans="1:10">
      <c r="A71" s="4" t="str">
        <f t="shared" si="7"/>
        <v>004</v>
      </c>
      <c r="B71" s="4" t="s">
        <v>15</v>
      </c>
      <c r="C71" s="4" t="str">
        <f>"向金林"</f>
        <v>向金林</v>
      </c>
      <c r="D71" s="4" t="str">
        <f>"2021013327"</f>
        <v>2021013327</v>
      </c>
      <c r="E71" s="4" t="str">
        <f t="shared" si="11"/>
        <v>33</v>
      </c>
      <c r="F71" s="4" t="str">
        <f>"27"</f>
        <v>27</v>
      </c>
      <c r="G71" s="4" t="s">
        <v>12</v>
      </c>
      <c r="H71" s="5">
        <v>0</v>
      </c>
      <c r="I71" s="6" t="s">
        <v>13</v>
      </c>
      <c r="J71" s="4">
        <f>SUMPRODUCT(--((A71=$A$3:$A$2785)*$H$3:$H$2785&gt;H71))+1</f>
        <v>23</v>
      </c>
    </row>
    <row r="72" s="1" customFormat="true" customHeight="true" spans="1:10">
      <c r="A72" s="4" t="str">
        <f t="shared" si="7"/>
        <v>004</v>
      </c>
      <c r="B72" s="4" t="s">
        <v>15</v>
      </c>
      <c r="C72" s="4" t="str">
        <f>"黎小莉"</f>
        <v>黎小莉</v>
      </c>
      <c r="D72" s="4" t="str">
        <f>"2021013329"</f>
        <v>2021013329</v>
      </c>
      <c r="E72" s="4" t="str">
        <f t="shared" si="11"/>
        <v>33</v>
      </c>
      <c r="F72" s="4" t="str">
        <f>"29"</f>
        <v>29</v>
      </c>
      <c r="G72" s="4" t="s">
        <v>12</v>
      </c>
      <c r="H72" s="5">
        <v>0</v>
      </c>
      <c r="I72" s="6" t="s">
        <v>13</v>
      </c>
      <c r="J72" s="4">
        <f>SUMPRODUCT(--((A72=$A$3:$A$2785)*$H$3:$H$2785&gt;H72))+1</f>
        <v>23</v>
      </c>
    </row>
    <row r="73" s="1" customFormat="true" customHeight="true" spans="1:10">
      <c r="A73" s="4" t="str">
        <f t="shared" si="7"/>
        <v>004</v>
      </c>
      <c r="B73" s="4" t="s">
        <v>15</v>
      </c>
      <c r="C73" s="4" t="str">
        <f>"廖成芳"</f>
        <v>廖成芳</v>
      </c>
      <c r="D73" s="4" t="str">
        <f>"2021013401"</f>
        <v>2021013401</v>
      </c>
      <c r="E73" s="4" t="str">
        <f t="shared" ref="E73:E93" si="12">"34"</f>
        <v>34</v>
      </c>
      <c r="F73" s="4" t="str">
        <f>"01"</f>
        <v>01</v>
      </c>
      <c r="G73" s="4" t="s">
        <v>12</v>
      </c>
      <c r="H73" s="5">
        <v>0</v>
      </c>
      <c r="I73" s="6" t="s">
        <v>13</v>
      </c>
      <c r="J73" s="4">
        <f>SUMPRODUCT(--((A73=$A$3:$A$2785)*$H$3:$H$2785&gt;H73))+1</f>
        <v>23</v>
      </c>
    </row>
    <row r="74" s="1" customFormat="true" customHeight="true" spans="1:10">
      <c r="A74" s="4" t="str">
        <f t="shared" si="7"/>
        <v>004</v>
      </c>
      <c r="B74" s="4" t="s">
        <v>15</v>
      </c>
      <c r="C74" s="4" t="str">
        <f>"康波"</f>
        <v>康波</v>
      </c>
      <c r="D74" s="4" t="str">
        <f>"2021013403"</f>
        <v>2021013403</v>
      </c>
      <c r="E74" s="4" t="str">
        <f t="shared" si="12"/>
        <v>34</v>
      </c>
      <c r="F74" s="4" t="str">
        <f>"03"</f>
        <v>03</v>
      </c>
      <c r="G74" s="4" t="s">
        <v>12</v>
      </c>
      <c r="H74" s="5">
        <v>0</v>
      </c>
      <c r="I74" s="6" t="s">
        <v>13</v>
      </c>
      <c r="J74" s="4">
        <f>SUMPRODUCT(--((A74=$A$3:$A$2785)*$H$3:$H$2785&gt;H74))+1</f>
        <v>23</v>
      </c>
    </row>
    <row r="75" s="1" customFormat="true" customHeight="true" spans="1:10">
      <c r="A75" s="4" t="str">
        <f t="shared" si="7"/>
        <v>004</v>
      </c>
      <c r="B75" s="4" t="s">
        <v>15</v>
      </c>
      <c r="C75" s="4" t="str">
        <f>"易晓琴"</f>
        <v>易晓琴</v>
      </c>
      <c r="D75" s="4" t="str">
        <f>"2021013404"</f>
        <v>2021013404</v>
      </c>
      <c r="E75" s="4" t="str">
        <f t="shared" si="12"/>
        <v>34</v>
      </c>
      <c r="F75" s="4" t="str">
        <f>"04"</f>
        <v>04</v>
      </c>
      <c r="G75" s="4" t="s">
        <v>12</v>
      </c>
      <c r="H75" s="5">
        <v>0</v>
      </c>
      <c r="I75" s="6" t="s">
        <v>13</v>
      </c>
      <c r="J75" s="4">
        <f>SUMPRODUCT(--((A75=$A$3:$A$2785)*$H$3:$H$2785&gt;H75))+1</f>
        <v>23</v>
      </c>
    </row>
    <row r="76" s="1" customFormat="true" customHeight="true" spans="1:10">
      <c r="A76" s="4" t="str">
        <f t="shared" si="7"/>
        <v>004</v>
      </c>
      <c r="B76" s="4" t="s">
        <v>15</v>
      </c>
      <c r="C76" s="4" t="str">
        <f>"向丽"</f>
        <v>向丽</v>
      </c>
      <c r="D76" s="4" t="str">
        <f>"2021013406"</f>
        <v>2021013406</v>
      </c>
      <c r="E76" s="4" t="str">
        <f t="shared" si="12"/>
        <v>34</v>
      </c>
      <c r="F76" s="4" t="str">
        <f>"06"</f>
        <v>06</v>
      </c>
      <c r="G76" s="4" t="s">
        <v>12</v>
      </c>
      <c r="H76" s="5">
        <v>0</v>
      </c>
      <c r="I76" s="6" t="s">
        <v>13</v>
      </c>
      <c r="J76" s="4">
        <f>SUMPRODUCT(--((A76=$A$3:$A$2785)*$H$3:$H$2785&gt;H76))+1</f>
        <v>23</v>
      </c>
    </row>
    <row r="77" s="1" customFormat="true" customHeight="true" spans="1:10">
      <c r="A77" s="4" t="str">
        <f t="shared" si="7"/>
        <v>004</v>
      </c>
      <c r="B77" s="4" t="s">
        <v>15</v>
      </c>
      <c r="C77" s="4" t="str">
        <f>"龙海蓉"</f>
        <v>龙海蓉</v>
      </c>
      <c r="D77" s="4" t="str">
        <f>"2021013407"</f>
        <v>2021013407</v>
      </c>
      <c r="E77" s="4" t="str">
        <f t="shared" si="12"/>
        <v>34</v>
      </c>
      <c r="F77" s="4" t="str">
        <f>"07"</f>
        <v>07</v>
      </c>
      <c r="G77" s="4" t="s">
        <v>12</v>
      </c>
      <c r="H77" s="5">
        <v>0</v>
      </c>
      <c r="I77" s="6" t="s">
        <v>13</v>
      </c>
      <c r="J77" s="4">
        <f>SUMPRODUCT(--((A77=$A$3:$A$2785)*$H$3:$H$2785&gt;H77))+1</f>
        <v>23</v>
      </c>
    </row>
    <row r="78" s="1" customFormat="true" customHeight="true" spans="1:10">
      <c r="A78" s="4" t="str">
        <f t="shared" si="7"/>
        <v>004</v>
      </c>
      <c r="B78" s="4" t="s">
        <v>15</v>
      </c>
      <c r="C78" s="4" t="str">
        <f>"徐慧"</f>
        <v>徐慧</v>
      </c>
      <c r="D78" s="4" t="str">
        <f>"2021013408"</f>
        <v>2021013408</v>
      </c>
      <c r="E78" s="4" t="str">
        <f t="shared" si="12"/>
        <v>34</v>
      </c>
      <c r="F78" s="4" t="str">
        <f>"08"</f>
        <v>08</v>
      </c>
      <c r="G78" s="4" t="s">
        <v>12</v>
      </c>
      <c r="H78" s="5">
        <v>0</v>
      </c>
      <c r="I78" s="6" t="s">
        <v>13</v>
      </c>
      <c r="J78" s="4">
        <f>SUMPRODUCT(--((A78=$A$3:$A$2785)*$H$3:$H$2785&gt;H78))+1</f>
        <v>23</v>
      </c>
    </row>
    <row r="79" s="1" customFormat="true" customHeight="true" spans="1:10">
      <c r="A79" s="4" t="str">
        <f t="shared" si="7"/>
        <v>004</v>
      </c>
      <c r="B79" s="4" t="s">
        <v>15</v>
      </c>
      <c r="C79" s="4" t="str">
        <f>"彭艳"</f>
        <v>彭艳</v>
      </c>
      <c r="D79" s="4" t="str">
        <f>"2021013409"</f>
        <v>2021013409</v>
      </c>
      <c r="E79" s="4" t="str">
        <f t="shared" si="12"/>
        <v>34</v>
      </c>
      <c r="F79" s="4" t="str">
        <f>"09"</f>
        <v>09</v>
      </c>
      <c r="G79" s="4" t="s">
        <v>12</v>
      </c>
      <c r="H79" s="5">
        <v>0</v>
      </c>
      <c r="I79" s="6" t="s">
        <v>13</v>
      </c>
      <c r="J79" s="4">
        <f>SUMPRODUCT(--((A79=$A$3:$A$2785)*$H$3:$H$2785&gt;H79))+1</f>
        <v>23</v>
      </c>
    </row>
    <row r="80" s="1" customFormat="true" customHeight="true" spans="1:10">
      <c r="A80" s="4" t="str">
        <f t="shared" si="7"/>
        <v>004</v>
      </c>
      <c r="B80" s="4" t="s">
        <v>15</v>
      </c>
      <c r="C80" s="4" t="str">
        <f>"李慧敏"</f>
        <v>李慧敏</v>
      </c>
      <c r="D80" s="4" t="str">
        <f>"2021013410"</f>
        <v>2021013410</v>
      </c>
      <c r="E80" s="4" t="str">
        <f t="shared" si="12"/>
        <v>34</v>
      </c>
      <c r="F80" s="4" t="str">
        <f>"10"</f>
        <v>10</v>
      </c>
      <c r="G80" s="4" t="s">
        <v>12</v>
      </c>
      <c r="H80" s="5">
        <v>0</v>
      </c>
      <c r="I80" s="6" t="s">
        <v>13</v>
      </c>
      <c r="J80" s="4">
        <f>SUMPRODUCT(--((A80=$A$3:$A$2785)*$H$3:$H$2785&gt;H80))+1</f>
        <v>23</v>
      </c>
    </row>
    <row r="81" s="1" customFormat="true" customHeight="true" spans="1:10">
      <c r="A81" s="4" t="str">
        <f t="shared" si="7"/>
        <v>004</v>
      </c>
      <c r="B81" s="4" t="s">
        <v>15</v>
      </c>
      <c r="C81" s="4" t="str">
        <f>"郭亮宇"</f>
        <v>郭亮宇</v>
      </c>
      <c r="D81" s="4" t="str">
        <f>"2021013412"</f>
        <v>2021013412</v>
      </c>
      <c r="E81" s="4" t="str">
        <f t="shared" si="12"/>
        <v>34</v>
      </c>
      <c r="F81" s="4" t="str">
        <f>"12"</f>
        <v>12</v>
      </c>
      <c r="G81" s="4" t="s">
        <v>12</v>
      </c>
      <c r="H81" s="5">
        <v>0</v>
      </c>
      <c r="I81" s="6" t="s">
        <v>13</v>
      </c>
      <c r="J81" s="4">
        <f>SUMPRODUCT(--((A81=$A$3:$A$2785)*$H$3:$H$2785&gt;H81))+1</f>
        <v>23</v>
      </c>
    </row>
    <row r="82" s="1" customFormat="true" customHeight="true" spans="1:10">
      <c r="A82" s="4" t="str">
        <f t="shared" si="7"/>
        <v>004</v>
      </c>
      <c r="B82" s="4" t="s">
        <v>15</v>
      </c>
      <c r="C82" s="4" t="str">
        <f>"向彩玲"</f>
        <v>向彩玲</v>
      </c>
      <c r="D82" s="4" t="str">
        <f>"2021013413"</f>
        <v>2021013413</v>
      </c>
      <c r="E82" s="4" t="str">
        <f t="shared" si="12"/>
        <v>34</v>
      </c>
      <c r="F82" s="4" t="str">
        <f>"13"</f>
        <v>13</v>
      </c>
      <c r="G82" s="4" t="s">
        <v>12</v>
      </c>
      <c r="H82" s="5">
        <v>0</v>
      </c>
      <c r="I82" s="6" t="s">
        <v>13</v>
      </c>
      <c r="J82" s="4">
        <f>SUMPRODUCT(--((A82=$A$3:$A$2785)*$H$3:$H$2785&gt;H82))+1</f>
        <v>23</v>
      </c>
    </row>
    <row r="83" s="1" customFormat="true" customHeight="true" spans="1:10">
      <c r="A83" s="4" t="str">
        <f t="shared" si="7"/>
        <v>004</v>
      </c>
      <c r="B83" s="4" t="s">
        <v>15</v>
      </c>
      <c r="C83" s="4" t="str">
        <f>"舒岚"</f>
        <v>舒岚</v>
      </c>
      <c r="D83" s="4" t="str">
        <f>"2021013415"</f>
        <v>2021013415</v>
      </c>
      <c r="E83" s="4" t="str">
        <f t="shared" si="12"/>
        <v>34</v>
      </c>
      <c r="F83" s="4" t="str">
        <f>"15"</f>
        <v>15</v>
      </c>
      <c r="G83" s="4" t="s">
        <v>12</v>
      </c>
      <c r="H83" s="5">
        <v>0</v>
      </c>
      <c r="I83" s="6" t="s">
        <v>13</v>
      </c>
      <c r="J83" s="4">
        <f>SUMPRODUCT(--((A83=$A$3:$A$2785)*$H$3:$H$2785&gt;H83))+1</f>
        <v>23</v>
      </c>
    </row>
    <row r="84" s="1" customFormat="true" customHeight="true" spans="1:10">
      <c r="A84" s="4" t="str">
        <f t="shared" si="7"/>
        <v>004</v>
      </c>
      <c r="B84" s="4" t="s">
        <v>15</v>
      </c>
      <c r="C84" s="4" t="str">
        <f>"杨艳红"</f>
        <v>杨艳红</v>
      </c>
      <c r="D84" s="4" t="str">
        <f>"2021013416"</f>
        <v>2021013416</v>
      </c>
      <c r="E84" s="4" t="str">
        <f t="shared" si="12"/>
        <v>34</v>
      </c>
      <c r="F84" s="4" t="str">
        <f>"16"</f>
        <v>16</v>
      </c>
      <c r="G84" s="4" t="s">
        <v>12</v>
      </c>
      <c r="H84" s="5">
        <v>0</v>
      </c>
      <c r="I84" s="6" t="s">
        <v>13</v>
      </c>
      <c r="J84" s="4">
        <f>SUMPRODUCT(--((A84=$A$3:$A$2785)*$H$3:$H$2785&gt;H84))+1</f>
        <v>23</v>
      </c>
    </row>
    <row r="85" s="1" customFormat="true" customHeight="true" spans="1:10">
      <c r="A85" s="4" t="str">
        <f t="shared" si="7"/>
        <v>004</v>
      </c>
      <c r="B85" s="4" t="s">
        <v>15</v>
      </c>
      <c r="C85" s="4" t="str">
        <f>"肖湘"</f>
        <v>肖湘</v>
      </c>
      <c r="D85" s="4" t="str">
        <f>"2021013417"</f>
        <v>2021013417</v>
      </c>
      <c r="E85" s="4" t="str">
        <f t="shared" si="12"/>
        <v>34</v>
      </c>
      <c r="F85" s="4" t="str">
        <f>"17"</f>
        <v>17</v>
      </c>
      <c r="G85" s="4" t="s">
        <v>12</v>
      </c>
      <c r="H85" s="5">
        <v>0</v>
      </c>
      <c r="I85" s="6" t="s">
        <v>13</v>
      </c>
      <c r="J85" s="4">
        <f>SUMPRODUCT(--((A85=$A$3:$A$2785)*$H$3:$H$2785&gt;H85))+1</f>
        <v>23</v>
      </c>
    </row>
    <row r="86" s="1" customFormat="true" customHeight="true" spans="1:10">
      <c r="A86" s="4" t="str">
        <f t="shared" si="7"/>
        <v>004</v>
      </c>
      <c r="B86" s="4" t="s">
        <v>15</v>
      </c>
      <c r="C86" s="4" t="str">
        <f>"刘阳"</f>
        <v>刘阳</v>
      </c>
      <c r="D86" s="4" t="str">
        <f>"2021013418"</f>
        <v>2021013418</v>
      </c>
      <c r="E86" s="4" t="str">
        <f t="shared" si="12"/>
        <v>34</v>
      </c>
      <c r="F86" s="4" t="str">
        <f>"18"</f>
        <v>18</v>
      </c>
      <c r="G86" s="4" t="s">
        <v>12</v>
      </c>
      <c r="H86" s="5">
        <v>0</v>
      </c>
      <c r="I86" s="6" t="s">
        <v>13</v>
      </c>
      <c r="J86" s="4">
        <f>SUMPRODUCT(--((A86=$A$3:$A$2785)*$H$3:$H$2785&gt;H86))+1</f>
        <v>23</v>
      </c>
    </row>
    <row r="87" s="1" customFormat="true" customHeight="true" spans="1:10">
      <c r="A87" s="4" t="str">
        <f t="shared" si="7"/>
        <v>004</v>
      </c>
      <c r="B87" s="4" t="s">
        <v>15</v>
      </c>
      <c r="C87" s="4" t="str">
        <f>"邓登莉"</f>
        <v>邓登莉</v>
      </c>
      <c r="D87" s="4" t="str">
        <f>"2021013420"</f>
        <v>2021013420</v>
      </c>
      <c r="E87" s="4" t="str">
        <f t="shared" si="12"/>
        <v>34</v>
      </c>
      <c r="F87" s="4" t="str">
        <f>"20"</f>
        <v>20</v>
      </c>
      <c r="G87" s="4" t="s">
        <v>12</v>
      </c>
      <c r="H87" s="5">
        <v>0</v>
      </c>
      <c r="I87" s="6" t="s">
        <v>13</v>
      </c>
      <c r="J87" s="4">
        <f>SUMPRODUCT(--((A87=$A$3:$A$2785)*$H$3:$H$2785&gt;H87))+1</f>
        <v>23</v>
      </c>
    </row>
    <row r="88" s="1" customFormat="true" customHeight="true" spans="1:10">
      <c r="A88" s="4" t="str">
        <f t="shared" si="7"/>
        <v>004</v>
      </c>
      <c r="B88" s="4" t="s">
        <v>15</v>
      </c>
      <c r="C88" s="4" t="str">
        <f>"胡四金"</f>
        <v>胡四金</v>
      </c>
      <c r="D88" s="4" t="str">
        <f>"2021013421"</f>
        <v>2021013421</v>
      </c>
      <c r="E88" s="4" t="str">
        <f t="shared" si="12"/>
        <v>34</v>
      </c>
      <c r="F88" s="4" t="str">
        <f>"21"</f>
        <v>21</v>
      </c>
      <c r="G88" s="4" t="s">
        <v>12</v>
      </c>
      <c r="H88" s="5">
        <v>0</v>
      </c>
      <c r="I88" s="6" t="s">
        <v>13</v>
      </c>
      <c r="J88" s="4">
        <f>SUMPRODUCT(--((A88=$A$3:$A$2785)*$H$3:$H$2785&gt;H88))+1</f>
        <v>23</v>
      </c>
    </row>
    <row r="89" s="1" customFormat="true" customHeight="true" spans="1:10">
      <c r="A89" s="4" t="str">
        <f t="shared" si="7"/>
        <v>004</v>
      </c>
      <c r="B89" s="4" t="s">
        <v>15</v>
      </c>
      <c r="C89" s="4" t="str">
        <f>"王美蓉"</f>
        <v>王美蓉</v>
      </c>
      <c r="D89" s="4" t="str">
        <f>"2021013422"</f>
        <v>2021013422</v>
      </c>
      <c r="E89" s="4" t="str">
        <f t="shared" si="12"/>
        <v>34</v>
      </c>
      <c r="F89" s="4" t="str">
        <f>"22"</f>
        <v>22</v>
      </c>
      <c r="G89" s="4" t="s">
        <v>12</v>
      </c>
      <c r="H89" s="5">
        <v>0</v>
      </c>
      <c r="I89" s="6" t="s">
        <v>13</v>
      </c>
      <c r="J89" s="4">
        <f>SUMPRODUCT(--((A89=$A$3:$A$2785)*$H$3:$H$2785&gt;H89))+1</f>
        <v>23</v>
      </c>
    </row>
    <row r="90" s="1" customFormat="true" customHeight="true" spans="1:10">
      <c r="A90" s="4" t="str">
        <f t="shared" si="7"/>
        <v>004</v>
      </c>
      <c r="B90" s="4" t="s">
        <v>15</v>
      </c>
      <c r="C90" s="4" t="str">
        <f>"向莹芝"</f>
        <v>向莹芝</v>
      </c>
      <c r="D90" s="4" t="str">
        <f>"2021013423"</f>
        <v>2021013423</v>
      </c>
      <c r="E90" s="4" t="str">
        <f t="shared" si="12"/>
        <v>34</v>
      </c>
      <c r="F90" s="4" t="str">
        <f>"23"</f>
        <v>23</v>
      </c>
      <c r="G90" s="4" t="s">
        <v>12</v>
      </c>
      <c r="H90" s="5">
        <v>0</v>
      </c>
      <c r="I90" s="6" t="s">
        <v>13</v>
      </c>
      <c r="J90" s="4">
        <f>SUMPRODUCT(--((A90=$A$3:$A$2785)*$H$3:$H$2785&gt;H90))+1</f>
        <v>23</v>
      </c>
    </row>
    <row r="91" s="1" customFormat="true" customHeight="true" spans="1:10">
      <c r="A91" s="4" t="str">
        <f t="shared" si="7"/>
        <v>004</v>
      </c>
      <c r="B91" s="4" t="s">
        <v>15</v>
      </c>
      <c r="C91" s="4" t="str">
        <f>"米悦欣"</f>
        <v>米悦欣</v>
      </c>
      <c r="D91" s="4" t="str">
        <f>"2021013425"</f>
        <v>2021013425</v>
      </c>
      <c r="E91" s="4" t="str">
        <f t="shared" si="12"/>
        <v>34</v>
      </c>
      <c r="F91" s="4" t="str">
        <f>"25"</f>
        <v>25</v>
      </c>
      <c r="G91" s="4" t="s">
        <v>12</v>
      </c>
      <c r="H91" s="5">
        <v>0</v>
      </c>
      <c r="I91" s="6" t="s">
        <v>13</v>
      </c>
      <c r="J91" s="4">
        <f>SUMPRODUCT(--((A91=$A$3:$A$2785)*$H$3:$H$2785&gt;H91))+1</f>
        <v>23</v>
      </c>
    </row>
    <row r="92" s="1" customFormat="true" customHeight="true" spans="1:10">
      <c r="A92" s="4" t="str">
        <f t="shared" si="7"/>
        <v>004</v>
      </c>
      <c r="B92" s="4" t="s">
        <v>15</v>
      </c>
      <c r="C92" s="4" t="str">
        <f>"曹雨东"</f>
        <v>曹雨东</v>
      </c>
      <c r="D92" s="4" t="str">
        <f>"2021013426"</f>
        <v>2021013426</v>
      </c>
      <c r="E92" s="4" t="str">
        <f t="shared" si="12"/>
        <v>34</v>
      </c>
      <c r="F92" s="4" t="str">
        <f>"26"</f>
        <v>26</v>
      </c>
      <c r="G92" s="4" t="s">
        <v>12</v>
      </c>
      <c r="H92" s="5">
        <v>0</v>
      </c>
      <c r="I92" s="6" t="s">
        <v>13</v>
      </c>
      <c r="J92" s="4">
        <f>SUMPRODUCT(--((A92=$A$3:$A$2785)*$H$3:$H$2785&gt;H92))+1</f>
        <v>23</v>
      </c>
    </row>
    <row r="93" s="1" customFormat="true" customHeight="true" spans="1:10">
      <c r="A93" s="4" t="str">
        <f t="shared" si="7"/>
        <v>004</v>
      </c>
      <c r="B93" s="4" t="s">
        <v>15</v>
      </c>
      <c r="C93" s="4" t="str">
        <f>"龙玉萍"</f>
        <v>龙玉萍</v>
      </c>
      <c r="D93" s="4" t="str">
        <f>"2021013427"</f>
        <v>2021013427</v>
      </c>
      <c r="E93" s="4" t="str">
        <f t="shared" si="12"/>
        <v>34</v>
      </c>
      <c r="F93" s="4" t="str">
        <f>"27"</f>
        <v>27</v>
      </c>
      <c r="G93" s="4" t="s">
        <v>12</v>
      </c>
      <c r="H93" s="5">
        <v>0</v>
      </c>
      <c r="I93" s="6" t="s">
        <v>13</v>
      </c>
      <c r="J93" s="4">
        <f>SUMPRODUCT(--((A93=$A$3:$A$2785)*$H$3:$H$2785&gt;H93))+1</f>
        <v>23</v>
      </c>
    </row>
    <row r="94" s="1" customFormat="true" customHeight="true" spans="1:10">
      <c r="A94" s="4" t="str">
        <f t="shared" si="7"/>
        <v>004</v>
      </c>
      <c r="B94" s="4" t="s">
        <v>15</v>
      </c>
      <c r="C94" s="4" t="str">
        <f>"蒲丽娅"</f>
        <v>蒲丽娅</v>
      </c>
      <c r="D94" s="4" t="str">
        <f>"2021013506"</f>
        <v>2021013506</v>
      </c>
      <c r="E94" s="4" t="str">
        <f t="shared" ref="E94:E98" si="13">"35"</f>
        <v>35</v>
      </c>
      <c r="F94" s="4" t="str">
        <f>"06"</f>
        <v>06</v>
      </c>
      <c r="G94" s="4" t="s">
        <v>12</v>
      </c>
      <c r="H94" s="5">
        <v>0</v>
      </c>
      <c r="I94" s="6" t="s">
        <v>13</v>
      </c>
      <c r="J94" s="4">
        <f>SUMPRODUCT(--((A94=$A$3:$A$2785)*$H$3:$H$2785&gt;H94))+1</f>
        <v>23</v>
      </c>
    </row>
    <row r="95" s="1" customFormat="true" customHeight="true" spans="1:10">
      <c r="A95" s="4" t="str">
        <f t="shared" si="7"/>
        <v>004</v>
      </c>
      <c r="B95" s="4" t="s">
        <v>15</v>
      </c>
      <c r="C95" s="4" t="str">
        <f>"向秋群"</f>
        <v>向秋群</v>
      </c>
      <c r="D95" s="4" t="str">
        <f>"2021013510"</f>
        <v>2021013510</v>
      </c>
      <c r="E95" s="4" t="str">
        <f t="shared" si="13"/>
        <v>35</v>
      </c>
      <c r="F95" s="4" t="str">
        <f>"10"</f>
        <v>10</v>
      </c>
      <c r="G95" s="4" t="s">
        <v>12</v>
      </c>
      <c r="H95" s="5">
        <v>0</v>
      </c>
      <c r="I95" s="6" t="s">
        <v>13</v>
      </c>
      <c r="J95" s="4">
        <f>SUMPRODUCT(--((A95=$A$3:$A$2785)*$H$3:$H$2785&gt;H95))+1</f>
        <v>23</v>
      </c>
    </row>
    <row r="96" s="1" customFormat="true" customHeight="true" spans="1:10">
      <c r="A96" s="4" t="str">
        <f t="shared" si="7"/>
        <v>004</v>
      </c>
      <c r="B96" s="4" t="s">
        <v>15</v>
      </c>
      <c r="C96" s="4" t="str">
        <f>"滕艳云"</f>
        <v>滕艳云</v>
      </c>
      <c r="D96" s="4" t="str">
        <f>"2021013511"</f>
        <v>2021013511</v>
      </c>
      <c r="E96" s="4" t="str">
        <f t="shared" si="13"/>
        <v>35</v>
      </c>
      <c r="F96" s="4" t="str">
        <f>"11"</f>
        <v>11</v>
      </c>
      <c r="G96" s="4" t="s">
        <v>12</v>
      </c>
      <c r="H96" s="5">
        <v>0</v>
      </c>
      <c r="I96" s="6" t="s">
        <v>13</v>
      </c>
      <c r="J96" s="4">
        <f>SUMPRODUCT(--((A96=$A$3:$A$2785)*$H$3:$H$2785&gt;H96))+1</f>
        <v>23</v>
      </c>
    </row>
    <row r="97" s="1" customFormat="true" customHeight="true" spans="1:10">
      <c r="A97" s="4" t="str">
        <f t="shared" si="7"/>
        <v>004</v>
      </c>
      <c r="B97" s="4" t="s">
        <v>15</v>
      </c>
      <c r="C97" s="4" t="str">
        <f>"唐玮"</f>
        <v>唐玮</v>
      </c>
      <c r="D97" s="4" t="str">
        <f>"2021013512"</f>
        <v>2021013512</v>
      </c>
      <c r="E97" s="4" t="str">
        <f t="shared" si="13"/>
        <v>35</v>
      </c>
      <c r="F97" s="4" t="str">
        <f>"12"</f>
        <v>12</v>
      </c>
      <c r="G97" s="4" t="s">
        <v>12</v>
      </c>
      <c r="H97" s="5">
        <v>0</v>
      </c>
      <c r="I97" s="6" t="s">
        <v>13</v>
      </c>
      <c r="J97" s="4">
        <f>SUMPRODUCT(--((A97=$A$3:$A$2785)*$H$3:$H$2785&gt;H97))+1</f>
        <v>23</v>
      </c>
    </row>
    <row r="98" s="1" customFormat="true" customHeight="true" spans="1:10">
      <c r="A98" s="4" t="str">
        <f t="shared" si="7"/>
        <v>004</v>
      </c>
      <c r="B98" s="4" t="s">
        <v>15</v>
      </c>
      <c r="C98" s="4" t="str">
        <f>"江梦园"</f>
        <v>江梦园</v>
      </c>
      <c r="D98" s="4" t="str">
        <f>"2021013513"</f>
        <v>2021013513</v>
      </c>
      <c r="E98" s="4" t="str">
        <f t="shared" si="13"/>
        <v>35</v>
      </c>
      <c r="F98" s="4" t="str">
        <f>"13"</f>
        <v>13</v>
      </c>
      <c r="G98" s="4" t="s">
        <v>12</v>
      </c>
      <c r="H98" s="5">
        <v>0</v>
      </c>
      <c r="I98" s="6" t="s">
        <v>13</v>
      </c>
      <c r="J98" s="4">
        <f>SUMPRODUCT(--((A98=$A$3:$A$2785)*$H$3:$H$2785&gt;H98))+1</f>
        <v>23</v>
      </c>
    </row>
    <row r="99" s="1" customFormat="true" customHeight="true" spans="1:10">
      <c r="A99" s="4" t="str">
        <f t="shared" ref="A99:A120" si="14">"005"</f>
        <v>005</v>
      </c>
      <c r="B99" s="4" t="s">
        <v>16</v>
      </c>
      <c r="C99" s="4" t="str">
        <f>"龙海英"</f>
        <v>龙海英</v>
      </c>
      <c r="D99" s="4" t="str">
        <f>"2021014524"</f>
        <v>2021014524</v>
      </c>
      <c r="E99" s="4" t="str">
        <f t="shared" ref="E99:E120" si="15">"45"</f>
        <v>45</v>
      </c>
      <c r="F99" s="4" t="str">
        <f>"24"</f>
        <v>24</v>
      </c>
      <c r="G99" s="4" t="s">
        <v>12</v>
      </c>
      <c r="H99" s="5">
        <v>77.1</v>
      </c>
      <c r="I99" s="4"/>
      <c r="J99" s="4">
        <f>SUMPRODUCT(--((A99=$A$3:$A$2785)*$H$3:$H$2785&gt;H99))+1</f>
        <v>1</v>
      </c>
    </row>
    <row r="100" s="1" customFormat="true" customHeight="true" spans="1:10">
      <c r="A100" s="4" t="str">
        <f t="shared" si="14"/>
        <v>005</v>
      </c>
      <c r="B100" s="4" t="s">
        <v>16</v>
      </c>
      <c r="C100" s="4" t="str">
        <f>"杨燕萍"</f>
        <v>杨燕萍</v>
      </c>
      <c r="D100" s="4" t="str">
        <f>"2021014508"</f>
        <v>2021014508</v>
      </c>
      <c r="E100" s="4" t="str">
        <f t="shared" si="15"/>
        <v>45</v>
      </c>
      <c r="F100" s="4" t="str">
        <f>"08"</f>
        <v>08</v>
      </c>
      <c r="G100" s="4" t="s">
        <v>12</v>
      </c>
      <c r="H100" s="5">
        <v>71.9</v>
      </c>
      <c r="I100" s="4"/>
      <c r="J100" s="4">
        <f>SUMPRODUCT(--((A100=$A$3:$A$2785)*$H$3:$H$2785&gt;H100))+1</f>
        <v>2</v>
      </c>
    </row>
    <row r="101" s="1" customFormat="true" customHeight="true" spans="1:10">
      <c r="A101" s="4" t="str">
        <f t="shared" si="14"/>
        <v>005</v>
      </c>
      <c r="B101" s="4" t="s">
        <v>16</v>
      </c>
      <c r="C101" s="4" t="str">
        <f>"陈伍玲"</f>
        <v>陈伍玲</v>
      </c>
      <c r="D101" s="4" t="str">
        <f>"2021014506"</f>
        <v>2021014506</v>
      </c>
      <c r="E101" s="4" t="str">
        <f t="shared" si="15"/>
        <v>45</v>
      </c>
      <c r="F101" s="4" t="str">
        <f>"06"</f>
        <v>06</v>
      </c>
      <c r="G101" s="4" t="s">
        <v>12</v>
      </c>
      <c r="H101" s="5">
        <v>70.3</v>
      </c>
      <c r="I101" s="4"/>
      <c r="J101" s="4">
        <f>SUMPRODUCT(--((A101=$A$3:$A$2785)*$H$3:$H$2785&gt;H101))+1</f>
        <v>3</v>
      </c>
    </row>
    <row r="102" s="1" customFormat="true" customHeight="true" spans="1:10">
      <c r="A102" s="4" t="str">
        <f t="shared" si="14"/>
        <v>005</v>
      </c>
      <c r="B102" s="4" t="s">
        <v>16</v>
      </c>
      <c r="C102" s="4" t="str">
        <f>"时宝琦"</f>
        <v>时宝琦</v>
      </c>
      <c r="D102" s="4" t="str">
        <f>"2021014515"</f>
        <v>2021014515</v>
      </c>
      <c r="E102" s="4" t="str">
        <f t="shared" si="15"/>
        <v>45</v>
      </c>
      <c r="F102" s="4" t="str">
        <f>"15"</f>
        <v>15</v>
      </c>
      <c r="G102" s="4" t="s">
        <v>12</v>
      </c>
      <c r="H102" s="5">
        <v>70.15</v>
      </c>
      <c r="I102" s="4"/>
      <c r="J102" s="4">
        <f>SUMPRODUCT(--((A102=$A$3:$A$2785)*$H$3:$H$2785&gt;H102))+1</f>
        <v>4</v>
      </c>
    </row>
    <row r="103" s="1" customFormat="true" customHeight="true" spans="1:10">
      <c r="A103" s="4" t="str">
        <f t="shared" si="14"/>
        <v>005</v>
      </c>
      <c r="B103" s="4" t="s">
        <v>16</v>
      </c>
      <c r="C103" s="4" t="str">
        <f>"舒茂玲"</f>
        <v>舒茂玲</v>
      </c>
      <c r="D103" s="4" t="str">
        <f>"2021014507"</f>
        <v>2021014507</v>
      </c>
      <c r="E103" s="4" t="str">
        <f t="shared" si="15"/>
        <v>45</v>
      </c>
      <c r="F103" s="4" t="str">
        <f>"07"</f>
        <v>07</v>
      </c>
      <c r="G103" s="4" t="s">
        <v>12</v>
      </c>
      <c r="H103" s="5">
        <v>68.65</v>
      </c>
      <c r="I103" s="4"/>
      <c r="J103" s="4">
        <f>SUMPRODUCT(--((A103=$A$3:$A$2785)*$H$3:$H$2785&gt;H103))+1</f>
        <v>5</v>
      </c>
    </row>
    <row r="104" s="1" customFormat="true" customHeight="true" spans="1:10">
      <c r="A104" s="4" t="str">
        <f t="shared" si="14"/>
        <v>005</v>
      </c>
      <c r="B104" s="4" t="s">
        <v>16</v>
      </c>
      <c r="C104" s="4" t="str">
        <f>"杨琴"</f>
        <v>杨琴</v>
      </c>
      <c r="D104" s="4" t="str">
        <f>"2021014517"</f>
        <v>2021014517</v>
      </c>
      <c r="E104" s="4" t="str">
        <f t="shared" si="15"/>
        <v>45</v>
      </c>
      <c r="F104" s="4" t="str">
        <f>"17"</f>
        <v>17</v>
      </c>
      <c r="G104" s="4" t="s">
        <v>12</v>
      </c>
      <c r="H104" s="5">
        <v>68.55</v>
      </c>
      <c r="I104" s="4"/>
      <c r="J104" s="4">
        <f>SUMPRODUCT(--((A104=$A$3:$A$2785)*$H$3:$H$2785&gt;H104))+1</f>
        <v>6</v>
      </c>
    </row>
    <row r="105" s="1" customFormat="true" customHeight="true" spans="1:10">
      <c r="A105" s="4" t="str">
        <f t="shared" si="14"/>
        <v>005</v>
      </c>
      <c r="B105" s="4" t="s">
        <v>16</v>
      </c>
      <c r="C105" s="4" t="str">
        <f>"龙灵笑"</f>
        <v>龙灵笑</v>
      </c>
      <c r="D105" s="4" t="str">
        <f>"2021014522"</f>
        <v>2021014522</v>
      </c>
      <c r="E105" s="4" t="str">
        <f t="shared" si="15"/>
        <v>45</v>
      </c>
      <c r="F105" s="4" t="str">
        <f>"22"</f>
        <v>22</v>
      </c>
      <c r="G105" s="4" t="s">
        <v>12</v>
      </c>
      <c r="H105" s="5">
        <v>67.95</v>
      </c>
      <c r="I105" s="4"/>
      <c r="J105" s="4">
        <f>SUMPRODUCT(--((A105=$A$3:$A$2785)*$H$3:$H$2785&gt;H105))+1</f>
        <v>7</v>
      </c>
    </row>
    <row r="106" s="1" customFormat="true" customHeight="true" spans="1:10">
      <c r="A106" s="4" t="str">
        <f t="shared" si="14"/>
        <v>005</v>
      </c>
      <c r="B106" s="4" t="s">
        <v>16</v>
      </c>
      <c r="C106" s="4" t="str">
        <f>"谭丽燕"</f>
        <v>谭丽燕</v>
      </c>
      <c r="D106" s="4" t="str">
        <f>"2021014513"</f>
        <v>2021014513</v>
      </c>
      <c r="E106" s="4" t="str">
        <f t="shared" si="15"/>
        <v>45</v>
      </c>
      <c r="F106" s="4" t="str">
        <f>"13"</f>
        <v>13</v>
      </c>
      <c r="G106" s="4" t="s">
        <v>12</v>
      </c>
      <c r="H106" s="5">
        <v>67.35</v>
      </c>
      <c r="I106" s="4"/>
      <c r="J106" s="4">
        <f>SUMPRODUCT(--((A106=$A$3:$A$2785)*$H$3:$H$2785&gt;H106))+1</f>
        <v>8</v>
      </c>
    </row>
    <row r="107" s="1" customFormat="true" customHeight="true" spans="1:10">
      <c r="A107" s="4" t="str">
        <f t="shared" si="14"/>
        <v>005</v>
      </c>
      <c r="B107" s="4" t="s">
        <v>16</v>
      </c>
      <c r="C107" s="4" t="str">
        <f>"马鑫"</f>
        <v>马鑫</v>
      </c>
      <c r="D107" s="4" t="str">
        <f>"2021014523"</f>
        <v>2021014523</v>
      </c>
      <c r="E107" s="4" t="str">
        <f t="shared" si="15"/>
        <v>45</v>
      </c>
      <c r="F107" s="4" t="str">
        <f>"23"</f>
        <v>23</v>
      </c>
      <c r="G107" s="4" t="s">
        <v>12</v>
      </c>
      <c r="H107" s="5">
        <v>64.3</v>
      </c>
      <c r="I107" s="4"/>
      <c r="J107" s="4">
        <f>SUMPRODUCT(--((A107=$A$3:$A$2785)*$H$3:$H$2785&gt;H107))+1</f>
        <v>9</v>
      </c>
    </row>
    <row r="108" s="1" customFormat="true" customHeight="true" spans="1:10">
      <c r="A108" s="4" t="str">
        <f t="shared" si="14"/>
        <v>005</v>
      </c>
      <c r="B108" s="4" t="s">
        <v>16</v>
      </c>
      <c r="C108" s="4" t="str">
        <f>"陈海京"</f>
        <v>陈海京</v>
      </c>
      <c r="D108" s="4" t="str">
        <f>"2021014510"</f>
        <v>2021014510</v>
      </c>
      <c r="E108" s="4" t="str">
        <f t="shared" si="15"/>
        <v>45</v>
      </c>
      <c r="F108" s="4" t="str">
        <f>"10"</f>
        <v>10</v>
      </c>
      <c r="G108" s="4" t="s">
        <v>12</v>
      </c>
      <c r="H108" s="5">
        <v>63.05</v>
      </c>
      <c r="I108" s="4"/>
      <c r="J108" s="4">
        <f>SUMPRODUCT(--((A108=$A$3:$A$2785)*$H$3:$H$2785&gt;H108))+1</f>
        <v>10</v>
      </c>
    </row>
    <row r="109" s="1" customFormat="true" customHeight="true" spans="1:10">
      <c r="A109" s="4" t="str">
        <f t="shared" si="14"/>
        <v>005</v>
      </c>
      <c r="B109" s="4" t="s">
        <v>16</v>
      </c>
      <c r="C109" s="4" t="str">
        <f>"黄世花"</f>
        <v>黄世花</v>
      </c>
      <c r="D109" s="4" t="str">
        <f>"2021014520"</f>
        <v>2021014520</v>
      </c>
      <c r="E109" s="4" t="str">
        <f t="shared" si="15"/>
        <v>45</v>
      </c>
      <c r="F109" s="4" t="str">
        <f>"20"</f>
        <v>20</v>
      </c>
      <c r="G109" s="4" t="s">
        <v>12</v>
      </c>
      <c r="H109" s="5">
        <v>62.8</v>
      </c>
      <c r="I109" s="4"/>
      <c r="J109" s="4">
        <f>SUMPRODUCT(--((A109=$A$3:$A$2785)*$H$3:$H$2785&gt;H109))+1</f>
        <v>11</v>
      </c>
    </row>
    <row r="110" s="1" customFormat="true" customHeight="true" spans="1:10">
      <c r="A110" s="4" t="str">
        <f t="shared" si="14"/>
        <v>005</v>
      </c>
      <c r="B110" s="4" t="s">
        <v>16</v>
      </c>
      <c r="C110" s="4" t="str">
        <f>"姚兰"</f>
        <v>姚兰</v>
      </c>
      <c r="D110" s="4" t="str">
        <f>"2021014518"</f>
        <v>2021014518</v>
      </c>
      <c r="E110" s="4" t="str">
        <f t="shared" si="15"/>
        <v>45</v>
      </c>
      <c r="F110" s="4" t="str">
        <f>"18"</f>
        <v>18</v>
      </c>
      <c r="G110" s="4" t="s">
        <v>12</v>
      </c>
      <c r="H110" s="5">
        <v>58.25</v>
      </c>
      <c r="I110" s="4"/>
      <c r="J110" s="4">
        <f>SUMPRODUCT(--((A110=$A$3:$A$2785)*$H$3:$H$2785&gt;H110))+1</f>
        <v>12</v>
      </c>
    </row>
    <row r="111" s="1" customFormat="true" customHeight="true" spans="1:10">
      <c r="A111" s="4" t="str">
        <f t="shared" si="14"/>
        <v>005</v>
      </c>
      <c r="B111" s="4" t="s">
        <v>16</v>
      </c>
      <c r="C111" s="4" t="str">
        <f>"陈洁"</f>
        <v>陈洁</v>
      </c>
      <c r="D111" s="4" t="str">
        <f>"2021014503"</f>
        <v>2021014503</v>
      </c>
      <c r="E111" s="4" t="str">
        <f t="shared" si="15"/>
        <v>45</v>
      </c>
      <c r="F111" s="4" t="str">
        <f>"03"</f>
        <v>03</v>
      </c>
      <c r="G111" s="4" t="s">
        <v>12</v>
      </c>
      <c r="H111" s="5">
        <v>0</v>
      </c>
      <c r="I111" s="6" t="s">
        <v>13</v>
      </c>
      <c r="J111" s="4">
        <f>SUMPRODUCT(--((A111=$A$3:$A$2785)*$H$3:$H$2785&gt;H111))+1</f>
        <v>13</v>
      </c>
    </row>
    <row r="112" s="1" customFormat="true" customHeight="true" spans="1:10">
      <c r="A112" s="4" t="str">
        <f t="shared" si="14"/>
        <v>005</v>
      </c>
      <c r="B112" s="4" t="s">
        <v>16</v>
      </c>
      <c r="C112" s="4" t="str">
        <f>"罗苗"</f>
        <v>罗苗</v>
      </c>
      <c r="D112" s="4" t="str">
        <f>"2021014504"</f>
        <v>2021014504</v>
      </c>
      <c r="E112" s="4" t="str">
        <f t="shared" si="15"/>
        <v>45</v>
      </c>
      <c r="F112" s="4" t="str">
        <f>"04"</f>
        <v>04</v>
      </c>
      <c r="G112" s="4" t="s">
        <v>12</v>
      </c>
      <c r="H112" s="5">
        <v>0</v>
      </c>
      <c r="I112" s="6" t="s">
        <v>13</v>
      </c>
      <c r="J112" s="4">
        <f>SUMPRODUCT(--((A112=$A$3:$A$2785)*$H$3:$H$2785&gt;H112))+1</f>
        <v>13</v>
      </c>
    </row>
    <row r="113" s="1" customFormat="true" customHeight="true" spans="1:10">
      <c r="A113" s="4" t="str">
        <f t="shared" si="14"/>
        <v>005</v>
      </c>
      <c r="B113" s="4" t="s">
        <v>16</v>
      </c>
      <c r="C113" s="4" t="str">
        <f>"赵心影"</f>
        <v>赵心影</v>
      </c>
      <c r="D113" s="4" t="str">
        <f>"2021014505"</f>
        <v>2021014505</v>
      </c>
      <c r="E113" s="4" t="str">
        <f t="shared" si="15"/>
        <v>45</v>
      </c>
      <c r="F113" s="4" t="str">
        <f>"05"</f>
        <v>05</v>
      </c>
      <c r="G113" s="4" t="s">
        <v>12</v>
      </c>
      <c r="H113" s="5">
        <v>0</v>
      </c>
      <c r="I113" s="6" t="s">
        <v>13</v>
      </c>
      <c r="J113" s="4">
        <f>SUMPRODUCT(--((A113=$A$3:$A$2785)*$H$3:$H$2785&gt;H113))+1</f>
        <v>13</v>
      </c>
    </row>
    <row r="114" s="1" customFormat="true" customHeight="true" spans="1:10">
      <c r="A114" s="4" t="str">
        <f t="shared" si="14"/>
        <v>005</v>
      </c>
      <c r="B114" s="4" t="s">
        <v>16</v>
      </c>
      <c r="C114" s="4" t="str">
        <f>"杨启万"</f>
        <v>杨启万</v>
      </c>
      <c r="D114" s="4" t="str">
        <f>"2021014509"</f>
        <v>2021014509</v>
      </c>
      <c r="E114" s="4" t="str">
        <f t="shared" si="15"/>
        <v>45</v>
      </c>
      <c r="F114" s="4" t="str">
        <f>"09"</f>
        <v>09</v>
      </c>
      <c r="G114" s="4" t="s">
        <v>12</v>
      </c>
      <c r="H114" s="5">
        <v>0</v>
      </c>
      <c r="I114" s="6" t="s">
        <v>13</v>
      </c>
      <c r="J114" s="4">
        <f>SUMPRODUCT(--((A114=$A$3:$A$2785)*$H$3:$H$2785&gt;H114))+1</f>
        <v>13</v>
      </c>
    </row>
    <row r="115" s="1" customFormat="true" customHeight="true" spans="1:10">
      <c r="A115" s="4" t="str">
        <f t="shared" si="14"/>
        <v>005</v>
      </c>
      <c r="B115" s="4" t="s">
        <v>16</v>
      </c>
      <c r="C115" s="4" t="str">
        <f>"吴晓红"</f>
        <v>吴晓红</v>
      </c>
      <c r="D115" s="4" t="str">
        <f>"2021014511"</f>
        <v>2021014511</v>
      </c>
      <c r="E115" s="4" t="str">
        <f t="shared" si="15"/>
        <v>45</v>
      </c>
      <c r="F115" s="4" t="str">
        <f>"11"</f>
        <v>11</v>
      </c>
      <c r="G115" s="4" t="s">
        <v>12</v>
      </c>
      <c r="H115" s="5">
        <v>0</v>
      </c>
      <c r="I115" s="6" t="s">
        <v>13</v>
      </c>
      <c r="J115" s="4">
        <f>SUMPRODUCT(--((A115=$A$3:$A$2785)*$H$3:$H$2785&gt;H115))+1</f>
        <v>13</v>
      </c>
    </row>
    <row r="116" s="1" customFormat="true" customHeight="true" spans="1:10">
      <c r="A116" s="4" t="str">
        <f t="shared" si="14"/>
        <v>005</v>
      </c>
      <c r="B116" s="4" t="s">
        <v>16</v>
      </c>
      <c r="C116" s="4" t="str">
        <f>"舒艳"</f>
        <v>舒艳</v>
      </c>
      <c r="D116" s="4" t="str">
        <f>"2021014512"</f>
        <v>2021014512</v>
      </c>
      <c r="E116" s="4" t="str">
        <f t="shared" si="15"/>
        <v>45</v>
      </c>
      <c r="F116" s="4" t="str">
        <f>"12"</f>
        <v>12</v>
      </c>
      <c r="G116" s="4" t="s">
        <v>12</v>
      </c>
      <c r="H116" s="5">
        <v>0</v>
      </c>
      <c r="I116" s="6" t="s">
        <v>13</v>
      </c>
      <c r="J116" s="4">
        <f>SUMPRODUCT(--((A116=$A$3:$A$2785)*$H$3:$H$2785&gt;H116))+1</f>
        <v>13</v>
      </c>
    </row>
    <row r="117" s="1" customFormat="true" customHeight="true" spans="1:10">
      <c r="A117" s="4" t="str">
        <f t="shared" si="14"/>
        <v>005</v>
      </c>
      <c r="B117" s="4" t="s">
        <v>16</v>
      </c>
      <c r="C117" s="4" t="str">
        <f>"邹纯"</f>
        <v>邹纯</v>
      </c>
      <c r="D117" s="4" t="str">
        <f>"2021014514"</f>
        <v>2021014514</v>
      </c>
      <c r="E117" s="4" t="str">
        <f t="shared" si="15"/>
        <v>45</v>
      </c>
      <c r="F117" s="4" t="str">
        <f>"14"</f>
        <v>14</v>
      </c>
      <c r="G117" s="4" t="s">
        <v>12</v>
      </c>
      <c r="H117" s="5">
        <v>0</v>
      </c>
      <c r="I117" s="6" t="s">
        <v>13</v>
      </c>
      <c r="J117" s="4">
        <f>SUMPRODUCT(--((A117=$A$3:$A$2785)*$H$3:$H$2785&gt;H117))+1</f>
        <v>13</v>
      </c>
    </row>
    <row r="118" s="1" customFormat="true" customHeight="true" spans="1:10">
      <c r="A118" s="4" t="str">
        <f t="shared" si="14"/>
        <v>005</v>
      </c>
      <c r="B118" s="4" t="s">
        <v>16</v>
      </c>
      <c r="C118" s="4" t="str">
        <f>"尹杨"</f>
        <v>尹杨</v>
      </c>
      <c r="D118" s="4" t="str">
        <f>"2021014516"</f>
        <v>2021014516</v>
      </c>
      <c r="E118" s="4" t="str">
        <f t="shared" si="15"/>
        <v>45</v>
      </c>
      <c r="F118" s="4" t="str">
        <f>"16"</f>
        <v>16</v>
      </c>
      <c r="G118" s="4" t="s">
        <v>12</v>
      </c>
      <c r="H118" s="5">
        <v>0</v>
      </c>
      <c r="I118" s="6" t="s">
        <v>13</v>
      </c>
      <c r="J118" s="4">
        <f>SUMPRODUCT(--((A118=$A$3:$A$2785)*$H$3:$H$2785&gt;H118))+1</f>
        <v>13</v>
      </c>
    </row>
    <row r="119" s="1" customFormat="true" customHeight="true" spans="1:10">
      <c r="A119" s="4" t="str">
        <f t="shared" si="14"/>
        <v>005</v>
      </c>
      <c r="B119" s="4" t="s">
        <v>16</v>
      </c>
      <c r="C119" s="4" t="str">
        <f>"姜妍"</f>
        <v>姜妍</v>
      </c>
      <c r="D119" s="4" t="str">
        <f>"2021014519"</f>
        <v>2021014519</v>
      </c>
      <c r="E119" s="4" t="str">
        <f t="shared" si="15"/>
        <v>45</v>
      </c>
      <c r="F119" s="4" t="str">
        <f>"19"</f>
        <v>19</v>
      </c>
      <c r="G119" s="4" t="s">
        <v>12</v>
      </c>
      <c r="H119" s="5">
        <v>0</v>
      </c>
      <c r="I119" s="6" t="s">
        <v>13</v>
      </c>
      <c r="J119" s="4">
        <f>SUMPRODUCT(--((A119=$A$3:$A$2785)*$H$3:$H$2785&gt;H119))+1</f>
        <v>13</v>
      </c>
    </row>
    <row r="120" s="1" customFormat="true" customHeight="true" spans="1:10">
      <c r="A120" s="4" t="str">
        <f t="shared" si="14"/>
        <v>005</v>
      </c>
      <c r="B120" s="4" t="s">
        <v>16</v>
      </c>
      <c r="C120" s="4" t="str">
        <f>"罗金"</f>
        <v>罗金</v>
      </c>
      <c r="D120" s="4" t="str">
        <f>"2021014521"</f>
        <v>2021014521</v>
      </c>
      <c r="E120" s="4" t="str">
        <f t="shared" si="15"/>
        <v>45</v>
      </c>
      <c r="F120" s="4" t="str">
        <f>"21"</f>
        <v>21</v>
      </c>
      <c r="G120" s="4" t="s">
        <v>12</v>
      </c>
      <c r="H120" s="5">
        <v>0</v>
      </c>
      <c r="I120" s="6" t="s">
        <v>13</v>
      </c>
      <c r="J120" s="4">
        <f>SUMPRODUCT(--((A120=$A$3:$A$2785)*$H$3:$H$2785&gt;H120))+1</f>
        <v>13</v>
      </c>
    </row>
    <row r="121" s="1" customFormat="true" customHeight="true" spans="1:10">
      <c r="A121" s="4" t="str">
        <f t="shared" ref="A121:A137" si="16">"006"</f>
        <v>006</v>
      </c>
      <c r="B121" s="4" t="s">
        <v>17</v>
      </c>
      <c r="C121" s="4" t="str">
        <f>"陈靓"</f>
        <v>陈靓</v>
      </c>
      <c r="D121" s="4" t="str">
        <f>"2021014710"</f>
        <v>2021014710</v>
      </c>
      <c r="E121" s="4" t="str">
        <f>"47"</f>
        <v>47</v>
      </c>
      <c r="F121" s="4" t="str">
        <f>"10"</f>
        <v>10</v>
      </c>
      <c r="G121" s="4" t="s">
        <v>12</v>
      </c>
      <c r="H121" s="5">
        <v>75.85</v>
      </c>
      <c r="I121" s="4"/>
      <c r="J121" s="4">
        <f>SUMPRODUCT(--((A121=$A$3:$A$2785)*$H$3:$H$2785&gt;H121))+1</f>
        <v>1</v>
      </c>
    </row>
    <row r="122" s="1" customFormat="true" customHeight="true" spans="1:10">
      <c r="A122" s="4" t="str">
        <f t="shared" si="16"/>
        <v>006</v>
      </c>
      <c r="B122" s="4" t="s">
        <v>17</v>
      </c>
      <c r="C122" s="4" t="str">
        <f>"谭琪"</f>
        <v>谭琪</v>
      </c>
      <c r="D122" s="4" t="str">
        <f>"2021014629"</f>
        <v>2021014629</v>
      </c>
      <c r="E122" s="4" t="str">
        <f t="shared" ref="E122:E129" si="17">"46"</f>
        <v>46</v>
      </c>
      <c r="F122" s="4" t="str">
        <f>"29"</f>
        <v>29</v>
      </c>
      <c r="G122" s="4" t="s">
        <v>12</v>
      </c>
      <c r="H122" s="5">
        <v>75.3</v>
      </c>
      <c r="I122" s="4"/>
      <c r="J122" s="4">
        <f>SUMPRODUCT(--((A122=$A$3:$A$2785)*$H$3:$H$2785&gt;H122))+1</f>
        <v>2</v>
      </c>
    </row>
    <row r="123" s="1" customFormat="true" customHeight="true" spans="1:10">
      <c r="A123" s="4" t="str">
        <f t="shared" si="16"/>
        <v>006</v>
      </c>
      <c r="B123" s="4" t="s">
        <v>17</v>
      </c>
      <c r="C123" s="4" t="str">
        <f>"彭敏"</f>
        <v>彭敏</v>
      </c>
      <c r="D123" s="4" t="str">
        <f>"2021014627"</f>
        <v>2021014627</v>
      </c>
      <c r="E123" s="4" t="str">
        <f t="shared" si="17"/>
        <v>46</v>
      </c>
      <c r="F123" s="4" t="str">
        <f>"27"</f>
        <v>27</v>
      </c>
      <c r="G123" s="4" t="s">
        <v>12</v>
      </c>
      <c r="H123" s="5">
        <v>74.15</v>
      </c>
      <c r="I123" s="4"/>
      <c r="J123" s="4">
        <f>SUMPRODUCT(--((A123=$A$3:$A$2785)*$H$3:$H$2785&gt;H123))+1</f>
        <v>3</v>
      </c>
    </row>
    <row r="124" s="1" customFormat="true" customHeight="true" spans="1:10">
      <c r="A124" s="4" t="str">
        <f t="shared" si="16"/>
        <v>006</v>
      </c>
      <c r="B124" s="4" t="s">
        <v>17</v>
      </c>
      <c r="C124" s="4" t="str">
        <f>"张婉倩"</f>
        <v>张婉倩</v>
      </c>
      <c r="D124" s="4" t="str">
        <f>"2021014704"</f>
        <v>2021014704</v>
      </c>
      <c r="E124" s="4" t="str">
        <f>"47"</f>
        <v>47</v>
      </c>
      <c r="F124" s="4" t="str">
        <f>"04"</f>
        <v>04</v>
      </c>
      <c r="G124" s="4" t="s">
        <v>12</v>
      </c>
      <c r="H124" s="5">
        <v>59.6</v>
      </c>
      <c r="I124" s="4"/>
      <c r="J124" s="4">
        <f>SUMPRODUCT(--((A124=$A$3:$A$2785)*$H$3:$H$2785&gt;H124))+1</f>
        <v>4</v>
      </c>
    </row>
    <row r="125" s="1" customFormat="true" customHeight="true" spans="1:10">
      <c r="A125" s="4" t="str">
        <f t="shared" si="16"/>
        <v>006</v>
      </c>
      <c r="B125" s="4" t="s">
        <v>17</v>
      </c>
      <c r="C125" s="4" t="str">
        <f>"龙诗菡"</f>
        <v>龙诗菡</v>
      </c>
      <c r="D125" s="4" t="str">
        <f>"2021014624"</f>
        <v>2021014624</v>
      </c>
      <c r="E125" s="4" t="str">
        <f t="shared" si="17"/>
        <v>46</v>
      </c>
      <c r="F125" s="4" t="str">
        <f>"24"</f>
        <v>24</v>
      </c>
      <c r="G125" s="4" t="s">
        <v>12</v>
      </c>
      <c r="H125" s="5">
        <v>0</v>
      </c>
      <c r="I125" s="6" t="s">
        <v>13</v>
      </c>
      <c r="J125" s="4">
        <f>SUMPRODUCT(--((A125=$A$3:$A$2785)*$H$3:$H$2785&gt;H125))+1</f>
        <v>5</v>
      </c>
    </row>
    <row r="126" s="1" customFormat="true" customHeight="true" spans="1:10">
      <c r="A126" s="4" t="str">
        <f t="shared" si="16"/>
        <v>006</v>
      </c>
      <c r="B126" s="4" t="s">
        <v>17</v>
      </c>
      <c r="C126" s="4" t="str">
        <f>"吴丙蓉"</f>
        <v>吴丙蓉</v>
      </c>
      <c r="D126" s="4" t="str">
        <f>"2021014625"</f>
        <v>2021014625</v>
      </c>
      <c r="E126" s="4" t="str">
        <f t="shared" si="17"/>
        <v>46</v>
      </c>
      <c r="F126" s="4" t="str">
        <f>"25"</f>
        <v>25</v>
      </c>
      <c r="G126" s="4" t="s">
        <v>12</v>
      </c>
      <c r="H126" s="5">
        <v>0</v>
      </c>
      <c r="I126" s="6" t="s">
        <v>13</v>
      </c>
      <c r="J126" s="4">
        <f>SUMPRODUCT(--((A126=$A$3:$A$2785)*$H$3:$H$2785&gt;H126))+1</f>
        <v>5</v>
      </c>
    </row>
    <row r="127" s="1" customFormat="true" customHeight="true" spans="1:10">
      <c r="A127" s="4" t="str">
        <f t="shared" si="16"/>
        <v>006</v>
      </c>
      <c r="B127" s="4" t="s">
        <v>17</v>
      </c>
      <c r="C127" s="4" t="str">
        <f>"吴明英"</f>
        <v>吴明英</v>
      </c>
      <c r="D127" s="4" t="str">
        <f>"2021014626"</f>
        <v>2021014626</v>
      </c>
      <c r="E127" s="4" t="str">
        <f t="shared" si="17"/>
        <v>46</v>
      </c>
      <c r="F127" s="4" t="str">
        <f>"26"</f>
        <v>26</v>
      </c>
      <c r="G127" s="4" t="s">
        <v>12</v>
      </c>
      <c r="H127" s="5">
        <v>0</v>
      </c>
      <c r="I127" s="6" t="s">
        <v>13</v>
      </c>
      <c r="J127" s="4">
        <f>SUMPRODUCT(--((A127=$A$3:$A$2785)*$H$3:$H$2785&gt;H127))+1</f>
        <v>5</v>
      </c>
    </row>
    <row r="128" s="1" customFormat="true" customHeight="true" spans="1:10">
      <c r="A128" s="4" t="str">
        <f t="shared" si="16"/>
        <v>006</v>
      </c>
      <c r="B128" s="4" t="s">
        <v>17</v>
      </c>
      <c r="C128" s="4" t="str">
        <f>"罗桂娟"</f>
        <v>罗桂娟</v>
      </c>
      <c r="D128" s="4" t="str">
        <f>"2021014628"</f>
        <v>2021014628</v>
      </c>
      <c r="E128" s="4" t="str">
        <f t="shared" si="17"/>
        <v>46</v>
      </c>
      <c r="F128" s="4" t="str">
        <f>"28"</f>
        <v>28</v>
      </c>
      <c r="G128" s="4" t="s">
        <v>12</v>
      </c>
      <c r="H128" s="5">
        <v>0</v>
      </c>
      <c r="I128" s="6" t="s">
        <v>13</v>
      </c>
      <c r="J128" s="4">
        <f>SUMPRODUCT(--((A128=$A$3:$A$2785)*$H$3:$H$2785&gt;H128))+1</f>
        <v>5</v>
      </c>
    </row>
    <row r="129" s="1" customFormat="true" customHeight="true" spans="1:10">
      <c r="A129" s="4" t="str">
        <f t="shared" si="16"/>
        <v>006</v>
      </c>
      <c r="B129" s="4" t="s">
        <v>17</v>
      </c>
      <c r="C129" s="4" t="str">
        <f>"马晓月"</f>
        <v>马晓月</v>
      </c>
      <c r="D129" s="4" t="str">
        <f>"2021014630"</f>
        <v>2021014630</v>
      </c>
      <c r="E129" s="4" t="str">
        <f t="shared" si="17"/>
        <v>46</v>
      </c>
      <c r="F129" s="4" t="str">
        <f>"30"</f>
        <v>30</v>
      </c>
      <c r="G129" s="4" t="s">
        <v>12</v>
      </c>
      <c r="H129" s="5">
        <v>0</v>
      </c>
      <c r="I129" s="6" t="s">
        <v>13</v>
      </c>
      <c r="J129" s="4">
        <f>SUMPRODUCT(--((A129=$A$3:$A$2785)*$H$3:$H$2785&gt;H129))+1</f>
        <v>5</v>
      </c>
    </row>
    <row r="130" s="1" customFormat="true" customHeight="true" spans="1:10">
      <c r="A130" s="4" t="str">
        <f t="shared" si="16"/>
        <v>006</v>
      </c>
      <c r="B130" s="4" t="s">
        <v>17</v>
      </c>
      <c r="C130" s="4" t="str">
        <f>"杨林"</f>
        <v>杨林</v>
      </c>
      <c r="D130" s="4" t="str">
        <f>"2021014701"</f>
        <v>2021014701</v>
      </c>
      <c r="E130" s="4" t="str">
        <f t="shared" ref="E130:E147" si="18">"47"</f>
        <v>47</v>
      </c>
      <c r="F130" s="4" t="str">
        <f>"01"</f>
        <v>01</v>
      </c>
      <c r="G130" s="4" t="s">
        <v>12</v>
      </c>
      <c r="H130" s="5">
        <v>0</v>
      </c>
      <c r="I130" s="6" t="s">
        <v>13</v>
      </c>
      <c r="J130" s="4">
        <f>SUMPRODUCT(--((A130=$A$3:$A$2785)*$H$3:$H$2785&gt;H130))+1</f>
        <v>5</v>
      </c>
    </row>
    <row r="131" s="1" customFormat="true" customHeight="true" spans="1:10">
      <c r="A131" s="4" t="str">
        <f t="shared" si="16"/>
        <v>006</v>
      </c>
      <c r="B131" s="4" t="s">
        <v>17</v>
      </c>
      <c r="C131" s="4" t="str">
        <f>"杨微"</f>
        <v>杨微</v>
      </c>
      <c r="D131" s="4" t="str">
        <f>"2021014702"</f>
        <v>2021014702</v>
      </c>
      <c r="E131" s="4" t="str">
        <f t="shared" si="18"/>
        <v>47</v>
      </c>
      <c r="F131" s="4" t="str">
        <f>"02"</f>
        <v>02</v>
      </c>
      <c r="G131" s="4" t="s">
        <v>12</v>
      </c>
      <c r="H131" s="5">
        <v>0</v>
      </c>
      <c r="I131" s="6" t="s">
        <v>13</v>
      </c>
      <c r="J131" s="4">
        <f>SUMPRODUCT(--((A131=$A$3:$A$2785)*$H$3:$H$2785&gt;H131))+1</f>
        <v>5</v>
      </c>
    </row>
    <row r="132" s="1" customFormat="true" customHeight="true" spans="1:10">
      <c r="A132" s="4" t="str">
        <f t="shared" si="16"/>
        <v>006</v>
      </c>
      <c r="B132" s="4" t="s">
        <v>17</v>
      </c>
      <c r="C132" s="4" t="str">
        <f>"黄婷"</f>
        <v>黄婷</v>
      </c>
      <c r="D132" s="4" t="str">
        <f>"2021014703"</f>
        <v>2021014703</v>
      </c>
      <c r="E132" s="4" t="str">
        <f t="shared" si="18"/>
        <v>47</v>
      </c>
      <c r="F132" s="4" t="str">
        <f>"03"</f>
        <v>03</v>
      </c>
      <c r="G132" s="4" t="s">
        <v>12</v>
      </c>
      <c r="H132" s="5">
        <v>0</v>
      </c>
      <c r="I132" s="6" t="s">
        <v>13</v>
      </c>
      <c r="J132" s="4">
        <f>SUMPRODUCT(--((A132=$A$3:$A$2785)*$H$3:$H$2785&gt;H132))+1</f>
        <v>5</v>
      </c>
    </row>
    <row r="133" s="1" customFormat="true" customHeight="true" spans="1:10">
      <c r="A133" s="4" t="str">
        <f t="shared" si="16"/>
        <v>006</v>
      </c>
      <c r="B133" s="4" t="s">
        <v>17</v>
      </c>
      <c r="C133" s="4" t="str">
        <f>"李亚男"</f>
        <v>李亚男</v>
      </c>
      <c r="D133" s="4" t="str">
        <f>"2021014705"</f>
        <v>2021014705</v>
      </c>
      <c r="E133" s="4" t="str">
        <f t="shared" si="18"/>
        <v>47</v>
      </c>
      <c r="F133" s="4" t="str">
        <f>"05"</f>
        <v>05</v>
      </c>
      <c r="G133" s="4" t="s">
        <v>12</v>
      </c>
      <c r="H133" s="5">
        <v>0</v>
      </c>
      <c r="I133" s="6" t="s">
        <v>13</v>
      </c>
      <c r="J133" s="4">
        <f>SUMPRODUCT(--((A133=$A$3:$A$2785)*$H$3:$H$2785&gt;H133))+1</f>
        <v>5</v>
      </c>
    </row>
    <row r="134" s="1" customFormat="true" customHeight="true" spans="1:10">
      <c r="A134" s="4" t="str">
        <f t="shared" si="16"/>
        <v>006</v>
      </c>
      <c r="B134" s="4" t="s">
        <v>17</v>
      </c>
      <c r="C134" s="4" t="str">
        <f>"蒋淑丹"</f>
        <v>蒋淑丹</v>
      </c>
      <c r="D134" s="4" t="str">
        <f>"2021014706"</f>
        <v>2021014706</v>
      </c>
      <c r="E134" s="4" t="str">
        <f t="shared" si="18"/>
        <v>47</v>
      </c>
      <c r="F134" s="4" t="str">
        <f>"06"</f>
        <v>06</v>
      </c>
      <c r="G134" s="4" t="s">
        <v>12</v>
      </c>
      <c r="H134" s="5">
        <v>0</v>
      </c>
      <c r="I134" s="6" t="s">
        <v>13</v>
      </c>
      <c r="J134" s="4">
        <f>SUMPRODUCT(--((A134=$A$3:$A$2785)*$H$3:$H$2785&gt;H134))+1</f>
        <v>5</v>
      </c>
    </row>
    <row r="135" s="1" customFormat="true" customHeight="true" spans="1:10">
      <c r="A135" s="4" t="str">
        <f t="shared" si="16"/>
        <v>006</v>
      </c>
      <c r="B135" s="4" t="s">
        <v>17</v>
      </c>
      <c r="C135" s="4" t="str">
        <f>"刘开焯"</f>
        <v>刘开焯</v>
      </c>
      <c r="D135" s="4" t="str">
        <f>"2021014707"</f>
        <v>2021014707</v>
      </c>
      <c r="E135" s="4" t="str">
        <f t="shared" si="18"/>
        <v>47</v>
      </c>
      <c r="F135" s="4" t="str">
        <f>"07"</f>
        <v>07</v>
      </c>
      <c r="G135" s="4" t="s">
        <v>12</v>
      </c>
      <c r="H135" s="5">
        <v>0</v>
      </c>
      <c r="I135" s="6" t="s">
        <v>13</v>
      </c>
      <c r="J135" s="4">
        <f>SUMPRODUCT(--((A135=$A$3:$A$2785)*$H$3:$H$2785&gt;H135))+1</f>
        <v>5</v>
      </c>
    </row>
    <row r="136" s="1" customFormat="true" customHeight="true" spans="1:10">
      <c r="A136" s="4" t="str">
        <f t="shared" si="16"/>
        <v>006</v>
      </c>
      <c r="B136" s="4" t="s">
        <v>17</v>
      </c>
      <c r="C136" s="4" t="str">
        <f>"陈芳蓉"</f>
        <v>陈芳蓉</v>
      </c>
      <c r="D136" s="4" t="str">
        <f>"2021014708"</f>
        <v>2021014708</v>
      </c>
      <c r="E136" s="4" t="str">
        <f t="shared" si="18"/>
        <v>47</v>
      </c>
      <c r="F136" s="4" t="str">
        <f>"08"</f>
        <v>08</v>
      </c>
      <c r="G136" s="4" t="s">
        <v>12</v>
      </c>
      <c r="H136" s="5">
        <v>0</v>
      </c>
      <c r="I136" s="6" t="s">
        <v>13</v>
      </c>
      <c r="J136" s="4">
        <f>SUMPRODUCT(--((A136=$A$3:$A$2785)*$H$3:$H$2785&gt;H136))+1</f>
        <v>5</v>
      </c>
    </row>
    <row r="137" s="1" customFormat="true" customHeight="true" spans="1:10">
      <c r="A137" s="4" t="str">
        <f t="shared" si="16"/>
        <v>006</v>
      </c>
      <c r="B137" s="4" t="s">
        <v>17</v>
      </c>
      <c r="C137" s="4" t="str">
        <f>"张玉侠"</f>
        <v>张玉侠</v>
      </c>
      <c r="D137" s="4" t="str">
        <f>"2021014709"</f>
        <v>2021014709</v>
      </c>
      <c r="E137" s="4" t="str">
        <f t="shared" si="18"/>
        <v>47</v>
      </c>
      <c r="F137" s="4" t="str">
        <f>"09"</f>
        <v>09</v>
      </c>
      <c r="G137" s="4" t="s">
        <v>12</v>
      </c>
      <c r="H137" s="5">
        <v>0</v>
      </c>
      <c r="I137" s="6" t="s">
        <v>13</v>
      </c>
      <c r="J137" s="4">
        <f>SUMPRODUCT(--((A137=$A$3:$A$2785)*$H$3:$H$2785&gt;H137))+1</f>
        <v>5</v>
      </c>
    </row>
    <row r="138" s="1" customFormat="true" customHeight="true" spans="1:10">
      <c r="A138" s="4" t="str">
        <f t="shared" ref="A138:A147" si="19">"007"</f>
        <v>007</v>
      </c>
      <c r="B138" s="4" t="s">
        <v>18</v>
      </c>
      <c r="C138" s="4" t="str">
        <f>"吴胤霓"</f>
        <v>吴胤霓</v>
      </c>
      <c r="D138" s="4" t="str">
        <f>"2021014717"</f>
        <v>2021014717</v>
      </c>
      <c r="E138" s="4" t="str">
        <f t="shared" si="18"/>
        <v>47</v>
      </c>
      <c r="F138" s="4" t="str">
        <f>"17"</f>
        <v>17</v>
      </c>
      <c r="G138" s="4" t="s">
        <v>12</v>
      </c>
      <c r="H138" s="5">
        <v>73.5</v>
      </c>
      <c r="I138" s="4"/>
      <c r="J138" s="4">
        <f>SUMPRODUCT(--((A138=$A$3:$A$2785)*$H$3:$H$2785&gt;H138))+1</f>
        <v>1</v>
      </c>
    </row>
    <row r="139" s="1" customFormat="true" customHeight="true" spans="1:10">
      <c r="A139" s="4" t="str">
        <f t="shared" si="19"/>
        <v>007</v>
      </c>
      <c r="B139" s="4" t="s">
        <v>18</v>
      </c>
      <c r="C139" s="4" t="str">
        <f>"李丽萍"</f>
        <v>李丽萍</v>
      </c>
      <c r="D139" s="4" t="str">
        <f>"2021014718"</f>
        <v>2021014718</v>
      </c>
      <c r="E139" s="4" t="str">
        <f t="shared" si="18"/>
        <v>47</v>
      </c>
      <c r="F139" s="4" t="str">
        <f>"18"</f>
        <v>18</v>
      </c>
      <c r="G139" s="4" t="s">
        <v>12</v>
      </c>
      <c r="H139" s="5">
        <v>71.75</v>
      </c>
      <c r="I139" s="4"/>
      <c r="J139" s="4">
        <f>SUMPRODUCT(--((A139=$A$3:$A$2785)*$H$3:$H$2785&gt;H139))+1</f>
        <v>2</v>
      </c>
    </row>
    <row r="140" s="1" customFormat="true" customHeight="true" spans="1:10">
      <c r="A140" s="4" t="str">
        <f t="shared" si="19"/>
        <v>007</v>
      </c>
      <c r="B140" s="4" t="s">
        <v>18</v>
      </c>
      <c r="C140" s="4" t="str">
        <f>"舒勇"</f>
        <v>舒勇</v>
      </c>
      <c r="D140" s="4" t="str">
        <f>"2021014720"</f>
        <v>2021014720</v>
      </c>
      <c r="E140" s="4" t="str">
        <f t="shared" si="18"/>
        <v>47</v>
      </c>
      <c r="F140" s="4" t="str">
        <f>"20"</f>
        <v>20</v>
      </c>
      <c r="G140" s="4" t="s">
        <v>12</v>
      </c>
      <c r="H140" s="5">
        <v>67.75</v>
      </c>
      <c r="I140" s="4"/>
      <c r="J140" s="4">
        <f>SUMPRODUCT(--((A140=$A$3:$A$2785)*$H$3:$H$2785&gt;H140))+1</f>
        <v>3</v>
      </c>
    </row>
    <row r="141" s="1" customFormat="true" customHeight="true" spans="1:10">
      <c r="A141" s="4" t="str">
        <f t="shared" si="19"/>
        <v>007</v>
      </c>
      <c r="B141" s="4" t="s">
        <v>18</v>
      </c>
      <c r="C141" s="4" t="str">
        <f>"田密"</f>
        <v>田密</v>
      </c>
      <c r="D141" s="4" t="str">
        <f>"2021014713"</f>
        <v>2021014713</v>
      </c>
      <c r="E141" s="4" t="str">
        <f t="shared" si="18"/>
        <v>47</v>
      </c>
      <c r="F141" s="4" t="str">
        <f>"13"</f>
        <v>13</v>
      </c>
      <c r="G141" s="4" t="s">
        <v>12</v>
      </c>
      <c r="H141" s="5">
        <v>66.25</v>
      </c>
      <c r="I141" s="4"/>
      <c r="J141" s="4">
        <f>SUMPRODUCT(--((A141=$A$3:$A$2785)*$H$3:$H$2785&gt;H141))+1</f>
        <v>4</v>
      </c>
    </row>
    <row r="142" s="1" customFormat="true" customHeight="true" spans="1:10">
      <c r="A142" s="4" t="str">
        <f t="shared" si="19"/>
        <v>007</v>
      </c>
      <c r="B142" s="4" t="s">
        <v>18</v>
      </c>
      <c r="C142" s="4" t="str">
        <f>"许兵"</f>
        <v>许兵</v>
      </c>
      <c r="D142" s="4" t="str">
        <f>"2021014715"</f>
        <v>2021014715</v>
      </c>
      <c r="E142" s="4" t="str">
        <f t="shared" si="18"/>
        <v>47</v>
      </c>
      <c r="F142" s="4" t="str">
        <f>"15"</f>
        <v>15</v>
      </c>
      <c r="G142" s="4" t="s">
        <v>12</v>
      </c>
      <c r="H142" s="5">
        <v>66</v>
      </c>
      <c r="I142" s="4"/>
      <c r="J142" s="4">
        <f>SUMPRODUCT(--((A142=$A$3:$A$2785)*$H$3:$H$2785&gt;H142))+1</f>
        <v>5</v>
      </c>
    </row>
    <row r="143" s="1" customFormat="true" customHeight="true" spans="1:10">
      <c r="A143" s="4" t="str">
        <f t="shared" si="19"/>
        <v>007</v>
      </c>
      <c r="B143" s="4" t="s">
        <v>18</v>
      </c>
      <c r="C143" s="4" t="str">
        <f>"邓亚春"</f>
        <v>邓亚春</v>
      </c>
      <c r="D143" s="4" t="str">
        <f>"2021014716"</f>
        <v>2021014716</v>
      </c>
      <c r="E143" s="4" t="str">
        <f t="shared" si="18"/>
        <v>47</v>
      </c>
      <c r="F143" s="4" t="str">
        <f>"16"</f>
        <v>16</v>
      </c>
      <c r="G143" s="4" t="s">
        <v>12</v>
      </c>
      <c r="H143" s="5">
        <v>64.5</v>
      </c>
      <c r="I143" s="4"/>
      <c r="J143" s="4">
        <f>SUMPRODUCT(--((A143=$A$3:$A$2785)*$H$3:$H$2785&gt;H143))+1</f>
        <v>6</v>
      </c>
    </row>
    <row r="144" s="1" customFormat="true" customHeight="true" spans="1:10">
      <c r="A144" s="4" t="str">
        <f t="shared" si="19"/>
        <v>007</v>
      </c>
      <c r="B144" s="4" t="s">
        <v>18</v>
      </c>
      <c r="C144" s="4" t="str">
        <f>"黄源琼"</f>
        <v>黄源琼</v>
      </c>
      <c r="D144" s="4" t="str">
        <f>"2021014719"</f>
        <v>2021014719</v>
      </c>
      <c r="E144" s="4" t="str">
        <f t="shared" si="18"/>
        <v>47</v>
      </c>
      <c r="F144" s="4" t="str">
        <f>"19"</f>
        <v>19</v>
      </c>
      <c r="G144" s="4" t="s">
        <v>12</v>
      </c>
      <c r="H144" s="5">
        <v>36.75</v>
      </c>
      <c r="I144" s="4"/>
      <c r="J144" s="4">
        <f>SUMPRODUCT(--((A144=$A$3:$A$2785)*$H$3:$H$2785&gt;H144))+1</f>
        <v>7</v>
      </c>
    </row>
    <row r="145" s="1" customFormat="true" customHeight="true" spans="1:10">
      <c r="A145" s="4" t="str">
        <f t="shared" si="19"/>
        <v>007</v>
      </c>
      <c r="B145" s="4" t="s">
        <v>18</v>
      </c>
      <c r="C145" s="4" t="str">
        <f>"张秋梅"</f>
        <v>张秋梅</v>
      </c>
      <c r="D145" s="4" t="str">
        <f>"2021014711"</f>
        <v>2021014711</v>
      </c>
      <c r="E145" s="4" t="str">
        <f t="shared" si="18"/>
        <v>47</v>
      </c>
      <c r="F145" s="4" t="str">
        <f>"11"</f>
        <v>11</v>
      </c>
      <c r="G145" s="4" t="s">
        <v>12</v>
      </c>
      <c r="H145" s="5">
        <v>0</v>
      </c>
      <c r="I145" s="6" t="s">
        <v>13</v>
      </c>
      <c r="J145" s="4">
        <f>SUMPRODUCT(--((A145=$A$3:$A$2785)*$H$3:$H$2785&gt;H145))+1</f>
        <v>8</v>
      </c>
    </row>
    <row r="146" s="1" customFormat="true" customHeight="true" spans="1:10">
      <c r="A146" s="4" t="str">
        <f t="shared" si="19"/>
        <v>007</v>
      </c>
      <c r="B146" s="4" t="s">
        <v>18</v>
      </c>
      <c r="C146" s="4" t="str">
        <f>"郑露露"</f>
        <v>郑露露</v>
      </c>
      <c r="D146" s="4" t="str">
        <f>"2021014712"</f>
        <v>2021014712</v>
      </c>
      <c r="E146" s="4" t="str">
        <f t="shared" si="18"/>
        <v>47</v>
      </c>
      <c r="F146" s="4" t="str">
        <f>"12"</f>
        <v>12</v>
      </c>
      <c r="G146" s="4" t="s">
        <v>12</v>
      </c>
      <c r="H146" s="5">
        <v>0</v>
      </c>
      <c r="I146" s="6" t="s">
        <v>13</v>
      </c>
      <c r="J146" s="4">
        <f>SUMPRODUCT(--((A146=$A$3:$A$2785)*$H$3:$H$2785&gt;H146))+1</f>
        <v>8</v>
      </c>
    </row>
    <row r="147" s="1" customFormat="true" customHeight="true" spans="1:10">
      <c r="A147" s="4" t="str">
        <f t="shared" si="19"/>
        <v>007</v>
      </c>
      <c r="B147" s="4" t="s">
        <v>18</v>
      </c>
      <c r="C147" s="4" t="str">
        <f>"张荣臻"</f>
        <v>张荣臻</v>
      </c>
      <c r="D147" s="4" t="str">
        <f>"2021014714"</f>
        <v>2021014714</v>
      </c>
      <c r="E147" s="4" t="str">
        <f t="shared" si="18"/>
        <v>47</v>
      </c>
      <c r="F147" s="4" t="str">
        <f>"14"</f>
        <v>14</v>
      </c>
      <c r="G147" s="4" t="s">
        <v>12</v>
      </c>
      <c r="H147" s="5">
        <v>0</v>
      </c>
      <c r="I147" s="6" t="s">
        <v>13</v>
      </c>
      <c r="J147" s="4">
        <f>SUMPRODUCT(--((A147=$A$3:$A$2785)*$H$3:$H$2785&gt;H147))+1</f>
        <v>8</v>
      </c>
    </row>
    <row r="148" s="1" customFormat="true" customHeight="true" spans="1:10">
      <c r="A148" s="4" t="str">
        <f t="shared" ref="A148:A184" si="20">"008"</f>
        <v>008</v>
      </c>
      <c r="B148" s="4" t="s">
        <v>19</v>
      </c>
      <c r="C148" s="4" t="str">
        <f>"吕师予"</f>
        <v>吕师予</v>
      </c>
      <c r="D148" s="4" t="str">
        <f>"2021015021"</f>
        <v>2021015021</v>
      </c>
      <c r="E148" s="4" t="str">
        <f t="shared" ref="E148:E152" si="21">"50"</f>
        <v>50</v>
      </c>
      <c r="F148" s="4" t="str">
        <f>"21"</f>
        <v>21</v>
      </c>
      <c r="G148" s="4" t="s">
        <v>12</v>
      </c>
      <c r="H148" s="5">
        <v>77.8</v>
      </c>
      <c r="I148" s="4"/>
      <c r="J148" s="4">
        <f>SUMPRODUCT(--((A148=$A$3:$A$2785)*$H$3:$H$2785&gt;H148))+1</f>
        <v>1</v>
      </c>
    </row>
    <row r="149" s="1" customFormat="true" customHeight="true" spans="1:10">
      <c r="A149" s="4" t="str">
        <f t="shared" si="20"/>
        <v>008</v>
      </c>
      <c r="B149" s="4" t="s">
        <v>19</v>
      </c>
      <c r="C149" s="4" t="str">
        <f>"李纯"</f>
        <v>李纯</v>
      </c>
      <c r="D149" s="4" t="str">
        <f>"2021015016"</f>
        <v>2021015016</v>
      </c>
      <c r="E149" s="4" t="str">
        <f t="shared" si="21"/>
        <v>50</v>
      </c>
      <c r="F149" s="4" t="str">
        <f>"16"</f>
        <v>16</v>
      </c>
      <c r="G149" s="4" t="s">
        <v>12</v>
      </c>
      <c r="H149" s="5">
        <v>76.6</v>
      </c>
      <c r="I149" s="4"/>
      <c r="J149" s="4">
        <f>SUMPRODUCT(--((A149=$A$3:$A$2785)*$H$3:$H$2785&gt;H149))+1</f>
        <v>2</v>
      </c>
    </row>
    <row r="150" s="1" customFormat="true" customHeight="true" spans="1:10">
      <c r="A150" s="4" t="str">
        <f t="shared" si="20"/>
        <v>008</v>
      </c>
      <c r="B150" s="4" t="s">
        <v>19</v>
      </c>
      <c r="C150" s="4" t="str">
        <f>"赵元元"</f>
        <v>赵元元</v>
      </c>
      <c r="D150" s="4" t="str">
        <f>"2021015003"</f>
        <v>2021015003</v>
      </c>
      <c r="E150" s="4" t="str">
        <f t="shared" si="21"/>
        <v>50</v>
      </c>
      <c r="F150" s="4" t="str">
        <f>"03"</f>
        <v>03</v>
      </c>
      <c r="G150" s="4" t="s">
        <v>12</v>
      </c>
      <c r="H150" s="5">
        <v>75.3</v>
      </c>
      <c r="I150" s="4"/>
      <c r="J150" s="4">
        <f>SUMPRODUCT(--((A150=$A$3:$A$2785)*$H$3:$H$2785&gt;H150))+1</f>
        <v>3</v>
      </c>
    </row>
    <row r="151" s="1" customFormat="true" customHeight="true" spans="1:10">
      <c r="A151" s="4" t="str">
        <f t="shared" si="20"/>
        <v>008</v>
      </c>
      <c r="B151" s="4" t="s">
        <v>19</v>
      </c>
      <c r="C151" s="4" t="str">
        <f>"熊梦杰"</f>
        <v>熊梦杰</v>
      </c>
      <c r="D151" s="4" t="str">
        <f>"2021015026"</f>
        <v>2021015026</v>
      </c>
      <c r="E151" s="4" t="str">
        <f t="shared" si="21"/>
        <v>50</v>
      </c>
      <c r="F151" s="4" t="str">
        <f>"26"</f>
        <v>26</v>
      </c>
      <c r="G151" s="4" t="s">
        <v>12</v>
      </c>
      <c r="H151" s="5">
        <v>74.95</v>
      </c>
      <c r="I151" s="4"/>
      <c r="J151" s="4">
        <f>SUMPRODUCT(--((A151=$A$3:$A$2785)*$H$3:$H$2785&gt;H151))+1</f>
        <v>4</v>
      </c>
    </row>
    <row r="152" s="1" customFormat="true" customHeight="true" spans="1:10">
      <c r="A152" s="4" t="str">
        <f t="shared" si="20"/>
        <v>008</v>
      </c>
      <c r="B152" s="4" t="s">
        <v>19</v>
      </c>
      <c r="C152" s="4" t="str">
        <f>"李思琦"</f>
        <v>李思琦</v>
      </c>
      <c r="D152" s="4" t="str">
        <f>"2021015018"</f>
        <v>2021015018</v>
      </c>
      <c r="E152" s="4" t="str">
        <f t="shared" si="21"/>
        <v>50</v>
      </c>
      <c r="F152" s="4" t="str">
        <f>"18"</f>
        <v>18</v>
      </c>
      <c r="G152" s="4" t="s">
        <v>12</v>
      </c>
      <c r="H152" s="5">
        <v>74.05</v>
      </c>
      <c r="I152" s="4"/>
      <c r="J152" s="4">
        <f>SUMPRODUCT(--((A152=$A$3:$A$2785)*$H$3:$H$2785&gt;H152))+1</f>
        <v>5</v>
      </c>
    </row>
    <row r="153" s="1" customFormat="true" customHeight="true" spans="1:10">
      <c r="A153" s="4" t="str">
        <f t="shared" si="20"/>
        <v>008</v>
      </c>
      <c r="B153" s="4" t="s">
        <v>19</v>
      </c>
      <c r="C153" s="4" t="str">
        <f>"袁晓芳"</f>
        <v>袁晓芳</v>
      </c>
      <c r="D153" s="4" t="str">
        <f>"2021014930"</f>
        <v>2021014930</v>
      </c>
      <c r="E153" s="4" t="str">
        <f t="shared" ref="E153:E158" si="22">"49"</f>
        <v>49</v>
      </c>
      <c r="F153" s="4" t="str">
        <f>"30"</f>
        <v>30</v>
      </c>
      <c r="G153" s="4" t="s">
        <v>12</v>
      </c>
      <c r="H153" s="5">
        <v>73.8</v>
      </c>
      <c r="I153" s="4"/>
      <c r="J153" s="4">
        <f>SUMPRODUCT(--((A153=$A$3:$A$2785)*$H$3:$H$2785&gt;H153))+1</f>
        <v>6</v>
      </c>
    </row>
    <row r="154" s="1" customFormat="true" customHeight="true" spans="1:10">
      <c r="A154" s="4" t="str">
        <f t="shared" si="20"/>
        <v>008</v>
      </c>
      <c r="B154" s="4" t="s">
        <v>19</v>
      </c>
      <c r="C154" s="4" t="str">
        <f>"雷蕾"</f>
        <v>雷蕾</v>
      </c>
      <c r="D154" s="4" t="str">
        <f>"2021014927"</f>
        <v>2021014927</v>
      </c>
      <c r="E154" s="4" t="str">
        <f t="shared" si="22"/>
        <v>49</v>
      </c>
      <c r="F154" s="4" t="str">
        <f>"27"</f>
        <v>27</v>
      </c>
      <c r="G154" s="4" t="s">
        <v>12</v>
      </c>
      <c r="H154" s="5">
        <v>73.75</v>
      </c>
      <c r="I154" s="4"/>
      <c r="J154" s="4">
        <f>SUMPRODUCT(--((A154=$A$3:$A$2785)*$H$3:$H$2785&gt;H154))+1</f>
        <v>7</v>
      </c>
    </row>
    <row r="155" s="1" customFormat="true" customHeight="true" spans="1:10">
      <c r="A155" s="4" t="str">
        <f t="shared" si="20"/>
        <v>008</v>
      </c>
      <c r="B155" s="4" t="s">
        <v>19</v>
      </c>
      <c r="C155" s="4" t="str">
        <f>"林建"</f>
        <v>林建</v>
      </c>
      <c r="D155" s="4" t="str">
        <f>"2021015020"</f>
        <v>2021015020</v>
      </c>
      <c r="E155" s="4" t="str">
        <f t="shared" ref="E155:E157" si="23">"50"</f>
        <v>50</v>
      </c>
      <c r="F155" s="4" t="str">
        <f>"20"</f>
        <v>20</v>
      </c>
      <c r="G155" s="4" t="s">
        <v>12</v>
      </c>
      <c r="H155" s="5">
        <v>73.75</v>
      </c>
      <c r="I155" s="4"/>
      <c r="J155" s="4">
        <f>SUMPRODUCT(--((A155=$A$3:$A$2785)*$H$3:$H$2785&gt;H155))+1</f>
        <v>7</v>
      </c>
    </row>
    <row r="156" s="1" customFormat="true" customHeight="true" spans="1:10">
      <c r="A156" s="4" t="str">
        <f t="shared" si="20"/>
        <v>008</v>
      </c>
      <c r="B156" s="4" t="s">
        <v>19</v>
      </c>
      <c r="C156" s="4" t="str">
        <f>"姚本通"</f>
        <v>姚本通</v>
      </c>
      <c r="D156" s="4" t="str">
        <f>"2021015002"</f>
        <v>2021015002</v>
      </c>
      <c r="E156" s="4" t="str">
        <f t="shared" si="23"/>
        <v>50</v>
      </c>
      <c r="F156" s="4" t="str">
        <f>"02"</f>
        <v>02</v>
      </c>
      <c r="G156" s="4" t="s">
        <v>12</v>
      </c>
      <c r="H156" s="5">
        <v>73.7</v>
      </c>
      <c r="I156" s="4"/>
      <c r="J156" s="4">
        <f>SUMPRODUCT(--((A156=$A$3:$A$2785)*$H$3:$H$2785&gt;H156))+1</f>
        <v>9</v>
      </c>
    </row>
    <row r="157" s="1" customFormat="true" customHeight="true" spans="1:10">
      <c r="A157" s="4" t="str">
        <f t="shared" si="20"/>
        <v>008</v>
      </c>
      <c r="B157" s="4" t="s">
        <v>19</v>
      </c>
      <c r="C157" s="4" t="str">
        <f>"丁娟"</f>
        <v>丁娟</v>
      </c>
      <c r="D157" s="4" t="str">
        <f>"2021015012"</f>
        <v>2021015012</v>
      </c>
      <c r="E157" s="4" t="str">
        <f t="shared" si="23"/>
        <v>50</v>
      </c>
      <c r="F157" s="4" t="str">
        <f>"12"</f>
        <v>12</v>
      </c>
      <c r="G157" s="4" t="s">
        <v>12</v>
      </c>
      <c r="H157" s="5">
        <v>72.45</v>
      </c>
      <c r="I157" s="4"/>
      <c r="J157" s="4">
        <f>SUMPRODUCT(--((A157=$A$3:$A$2785)*$H$3:$H$2785&gt;H157))+1</f>
        <v>10</v>
      </c>
    </row>
    <row r="158" s="1" customFormat="true" customHeight="true" spans="1:10">
      <c r="A158" s="4" t="str">
        <f t="shared" si="20"/>
        <v>008</v>
      </c>
      <c r="B158" s="4" t="s">
        <v>19</v>
      </c>
      <c r="C158" s="4" t="str">
        <f>"杨成志"</f>
        <v>杨成志</v>
      </c>
      <c r="D158" s="4" t="str">
        <f>"2021014924"</f>
        <v>2021014924</v>
      </c>
      <c r="E158" s="4" t="str">
        <f t="shared" si="22"/>
        <v>49</v>
      </c>
      <c r="F158" s="4" t="str">
        <f>"24"</f>
        <v>24</v>
      </c>
      <c r="G158" s="4" t="s">
        <v>12</v>
      </c>
      <c r="H158" s="5">
        <v>71.45</v>
      </c>
      <c r="I158" s="4"/>
      <c r="J158" s="4">
        <f>SUMPRODUCT(--((A158=$A$3:$A$2785)*$H$3:$H$2785&gt;H158))+1</f>
        <v>11</v>
      </c>
    </row>
    <row r="159" s="1" customFormat="true" customHeight="true" spans="1:10">
      <c r="A159" s="4" t="str">
        <f t="shared" si="20"/>
        <v>008</v>
      </c>
      <c r="B159" s="4" t="s">
        <v>19</v>
      </c>
      <c r="C159" s="4" t="str">
        <f>"张秀秀"</f>
        <v>张秀秀</v>
      </c>
      <c r="D159" s="4" t="str">
        <f>"2021015019"</f>
        <v>2021015019</v>
      </c>
      <c r="E159" s="4" t="str">
        <f t="shared" ref="E159:E161" si="24">"50"</f>
        <v>50</v>
      </c>
      <c r="F159" s="4" t="str">
        <f>"19"</f>
        <v>19</v>
      </c>
      <c r="G159" s="4" t="s">
        <v>12</v>
      </c>
      <c r="H159" s="5">
        <v>71.05</v>
      </c>
      <c r="I159" s="4"/>
      <c r="J159" s="4">
        <f>SUMPRODUCT(--((A159=$A$3:$A$2785)*$H$3:$H$2785&gt;H159))+1</f>
        <v>12</v>
      </c>
    </row>
    <row r="160" s="1" customFormat="true" customHeight="true" spans="1:10">
      <c r="A160" s="4" t="str">
        <f t="shared" si="20"/>
        <v>008</v>
      </c>
      <c r="B160" s="4" t="s">
        <v>19</v>
      </c>
      <c r="C160" s="4" t="str">
        <f>"杨子鑫"</f>
        <v>杨子鑫</v>
      </c>
      <c r="D160" s="4" t="str">
        <f>"2021015006"</f>
        <v>2021015006</v>
      </c>
      <c r="E160" s="4" t="str">
        <f t="shared" si="24"/>
        <v>50</v>
      </c>
      <c r="F160" s="4" t="str">
        <f>"06"</f>
        <v>06</v>
      </c>
      <c r="G160" s="4" t="s">
        <v>12</v>
      </c>
      <c r="H160" s="5">
        <v>65.8</v>
      </c>
      <c r="I160" s="4"/>
      <c r="J160" s="4">
        <f>SUMPRODUCT(--((A160=$A$3:$A$2785)*$H$3:$H$2785&gt;H160))+1</f>
        <v>13</v>
      </c>
    </row>
    <row r="161" s="1" customFormat="true" customHeight="true" spans="1:10">
      <c r="A161" s="4" t="str">
        <f t="shared" si="20"/>
        <v>008</v>
      </c>
      <c r="B161" s="4" t="s">
        <v>19</v>
      </c>
      <c r="C161" s="4" t="str">
        <f>"冉娟艳"</f>
        <v>冉娟艳</v>
      </c>
      <c r="D161" s="4" t="str">
        <f>"2021015024"</f>
        <v>2021015024</v>
      </c>
      <c r="E161" s="4" t="str">
        <f t="shared" si="24"/>
        <v>50</v>
      </c>
      <c r="F161" s="4" t="str">
        <f>"24"</f>
        <v>24</v>
      </c>
      <c r="G161" s="4" t="s">
        <v>12</v>
      </c>
      <c r="H161" s="5">
        <v>64.45</v>
      </c>
      <c r="I161" s="4"/>
      <c r="J161" s="4">
        <f>SUMPRODUCT(--((A161=$A$3:$A$2785)*$H$3:$H$2785&gt;H161))+1</f>
        <v>14</v>
      </c>
    </row>
    <row r="162" s="1" customFormat="true" customHeight="true" spans="1:10">
      <c r="A162" s="4" t="str">
        <f t="shared" si="20"/>
        <v>008</v>
      </c>
      <c r="B162" s="4" t="s">
        <v>19</v>
      </c>
      <c r="C162" s="4" t="str">
        <f>"章毅林"</f>
        <v>章毅林</v>
      </c>
      <c r="D162" s="4" t="str">
        <f>"2021014929"</f>
        <v>2021014929</v>
      </c>
      <c r="E162" s="4" t="str">
        <f t="shared" ref="E162:E169" si="25">"49"</f>
        <v>49</v>
      </c>
      <c r="F162" s="4" t="str">
        <f>"29"</f>
        <v>29</v>
      </c>
      <c r="G162" s="4" t="s">
        <v>12</v>
      </c>
      <c r="H162" s="5">
        <v>63.9</v>
      </c>
      <c r="I162" s="4"/>
      <c r="J162" s="4">
        <f>SUMPRODUCT(--((A162=$A$3:$A$2785)*$H$3:$H$2785&gt;H162))+1</f>
        <v>15</v>
      </c>
    </row>
    <row r="163" s="1" customFormat="true" customHeight="true" spans="1:10">
      <c r="A163" s="4" t="str">
        <f t="shared" si="20"/>
        <v>008</v>
      </c>
      <c r="B163" s="4" t="s">
        <v>19</v>
      </c>
      <c r="C163" s="4" t="str">
        <f>"张广飞"</f>
        <v>张广飞</v>
      </c>
      <c r="D163" s="4" t="str">
        <f>"2021015010"</f>
        <v>2021015010</v>
      </c>
      <c r="E163" s="4" t="str">
        <f t="shared" ref="E163:E165" si="26">"50"</f>
        <v>50</v>
      </c>
      <c r="F163" s="4" t="str">
        <f>"10"</f>
        <v>10</v>
      </c>
      <c r="G163" s="4" t="s">
        <v>12</v>
      </c>
      <c r="H163" s="5">
        <v>58.65</v>
      </c>
      <c r="I163" s="4"/>
      <c r="J163" s="4">
        <f>SUMPRODUCT(--((A163=$A$3:$A$2785)*$H$3:$H$2785&gt;H163))+1</f>
        <v>16</v>
      </c>
    </row>
    <row r="164" s="1" customFormat="true" customHeight="true" spans="1:10">
      <c r="A164" s="4" t="str">
        <f t="shared" si="20"/>
        <v>008</v>
      </c>
      <c r="B164" s="4" t="s">
        <v>19</v>
      </c>
      <c r="C164" s="4" t="str">
        <f>"黄叶平"</f>
        <v>黄叶平</v>
      </c>
      <c r="D164" s="4" t="str">
        <f>"2021015022"</f>
        <v>2021015022</v>
      </c>
      <c r="E164" s="4" t="str">
        <f t="shared" si="26"/>
        <v>50</v>
      </c>
      <c r="F164" s="4" t="str">
        <f>"22"</f>
        <v>22</v>
      </c>
      <c r="G164" s="4" t="s">
        <v>12</v>
      </c>
      <c r="H164" s="5">
        <v>51.2</v>
      </c>
      <c r="I164" s="4"/>
      <c r="J164" s="4">
        <f>SUMPRODUCT(--((A164=$A$3:$A$2785)*$H$3:$H$2785&gt;H164))+1</f>
        <v>17</v>
      </c>
    </row>
    <row r="165" s="1" customFormat="true" customHeight="true" spans="1:10">
      <c r="A165" s="4" t="str">
        <f t="shared" si="20"/>
        <v>008</v>
      </c>
      <c r="B165" s="4" t="s">
        <v>19</v>
      </c>
      <c r="C165" s="4" t="str">
        <f>"安洁洁"</f>
        <v>安洁洁</v>
      </c>
      <c r="D165" s="4" t="str">
        <f>"2021015029"</f>
        <v>2021015029</v>
      </c>
      <c r="E165" s="4" t="str">
        <f t="shared" si="26"/>
        <v>50</v>
      </c>
      <c r="F165" s="4" t="str">
        <f>"29"</f>
        <v>29</v>
      </c>
      <c r="G165" s="4" t="s">
        <v>12</v>
      </c>
      <c r="H165" s="5">
        <v>47.7</v>
      </c>
      <c r="I165" s="4"/>
      <c r="J165" s="4">
        <f>SUMPRODUCT(--((A165=$A$3:$A$2785)*$H$3:$H$2785&gt;H165))+1</f>
        <v>18</v>
      </c>
    </row>
    <row r="166" s="1" customFormat="true" customHeight="true" spans="1:10">
      <c r="A166" s="4" t="str">
        <f t="shared" si="20"/>
        <v>008</v>
      </c>
      <c r="B166" s="4" t="s">
        <v>19</v>
      </c>
      <c r="C166" s="4" t="str">
        <f>"文婷"</f>
        <v>文婷</v>
      </c>
      <c r="D166" s="4" t="str">
        <f>"2021014923"</f>
        <v>2021014923</v>
      </c>
      <c r="E166" s="4" t="str">
        <f t="shared" si="25"/>
        <v>49</v>
      </c>
      <c r="F166" s="4" t="str">
        <f>"23"</f>
        <v>23</v>
      </c>
      <c r="G166" s="4" t="s">
        <v>12</v>
      </c>
      <c r="H166" s="5">
        <v>0</v>
      </c>
      <c r="I166" s="6" t="s">
        <v>13</v>
      </c>
      <c r="J166" s="4">
        <f>SUMPRODUCT(--((A166=$A$3:$A$2785)*$H$3:$H$2785&gt;H166))+1</f>
        <v>19</v>
      </c>
    </row>
    <row r="167" s="1" customFormat="true" customHeight="true" spans="1:10">
      <c r="A167" s="4" t="str">
        <f t="shared" si="20"/>
        <v>008</v>
      </c>
      <c r="B167" s="4" t="s">
        <v>19</v>
      </c>
      <c r="C167" s="4" t="str">
        <f>"粟岚"</f>
        <v>粟岚</v>
      </c>
      <c r="D167" s="4" t="str">
        <f>"2021014925"</f>
        <v>2021014925</v>
      </c>
      <c r="E167" s="4" t="str">
        <f t="shared" si="25"/>
        <v>49</v>
      </c>
      <c r="F167" s="4" t="str">
        <f>"25"</f>
        <v>25</v>
      </c>
      <c r="G167" s="4" t="s">
        <v>12</v>
      </c>
      <c r="H167" s="5">
        <v>0</v>
      </c>
      <c r="I167" s="6" t="s">
        <v>13</v>
      </c>
      <c r="J167" s="4">
        <f>SUMPRODUCT(--((A167=$A$3:$A$2785)*$H$3:$H$2785&gt;H167))+1</f>
        <v>19</v>
      </c>
    </row>
    <row r="168" s="1" customFormat="true" customHeight="true" spans="1:10">
      <c r="A168" s="4" t="str">
        <f t="shared" si="20"/>
        <v>008</v>
      </c>
      <c r="B168" s="4" t="s">
        <v>19</v>
      </c>
      <c r="C168" s="4" t="str">
        <f>"梁玲娇"</f>
        <v>梁玲娇</v>
      </c>
      <c r="D168" s="4" t="str">
        <f>"2021014926"</f>
        <v>2021014926</v>
      </c>
      <c r="E168" s="4" t="str">
        <f t="shared" si="25"/>
        <v>49</v>
      </c>
      <c r="F168" s="4" t="str">
        <f>"26"</f>
        <v>26</v>
      </c>
      <c r="G168" s="4" t="s">
        <v>12</v>
      </c>
      <c r="H168" s="5">
        <v>0</v>
      </c>
      <c r="I168" s="6" t="s">
        <v>13</v>
      </c>
      <c r="J168" s="4">
        <f>SUMPRODUCT(--((A168=$A$3:$A$2785)*$H$3:$H$2785&gt;H168))+1</f>
        <v>19</v>
      </c>
    </row>
    <row r="169" s="1" customFormat="true" customHeight="true" spans="1:10">
      <c r="A169" s="4" t="str">
        <f t="shared" si="20"/>
        <v>008</v>
      </c>
      <c r="B169" s="4" t="s">
        <v>19</v>
      </c>
      <c r="C169" s="4" t="str">
        <f>"吴昱"</f>
        <v>吴昱</v>
      </c>
      <c r="D169" s="4" t="str">
        <f>"2021014928"</f>
        <v>2021014928</v>
      </c>
      <c r="E169" s="4" t="str">
        <f t="shared" si="25"/>
        <v>49</v>
      </c>
      <c r="F169" s="4" t="str">
        <f>"28"</f>
        <v>28</v>
      </c>
      <c r="G169" s="4" t="s">
        <v>12</v>
      </c>
      <c r="H169" s="5">
        <v>0</v>
      </c>
      <c r="I169" s="6" t="s">
        <v>13</v>
      </c>
      <c r="J169" s="4">
        <f>SUMPRODUCT(--((A169=$A$3:$A$2785)*$H$3:$H$2785&gt;H169))+1</f>
        <v>19</v>
      </c>
    </row>
    <row r="170" s="1" customFormat="true" customHeight="true" spans="1:10">
      <c r="A170" s="4" t="str">
        <f t="shared" si="20"/>
        <v>008</v>
      </c>
      <c r="B170" s="4" t="s">
        <v>19</v>
      </c>
      <c r="C170" s="4" t="str">
        <f>"张秋萍"</f>
        <v>张秋萍</v>
      </c>
      <c r="D170" s="4" t="str">
        <f>"2021015001"</f>
        <v>2021015001</v>
      </c>
      <c r="E170" s="4" t="str">
        <f t="shared" ref="E170:E184" si="27">"50"</f>
        <v>50</v>
      </c>
      <c r="F170" s="4" t="str">
        <f>"01"</f>
        <v>01</v>
      </c>
      <c r="G170" s="4" t="s">
        <v>12</v>
      </c>
      <c r="H170" s="5">
        <v>0</v>
      </c>
      <c r="I170" s="6" t="s">
        <v>13</v>
      </c>
      <c r="J170" s="4">
        <f>SUMPRODUCT(--((A170=$A$3:$A$2785)*$H$3:$H$2785&gt;H170))+1</f>
        <v>19</v>
      </c>
    </row>
    <row r="171" s="1" customFormat="true" customHeight="true" spans="1:10">
      <c r="A171" s="4" t="str">
        <f t="shared" si="20"/>
        <v>008</v>
      </c>
      <c r="B171" s="4" t="s">
        <v>19</v>
      </c>
      <c r="C171" s="4" t="str">
        <f>"黄少华"</f>
        <v>黄少华</v>
      </c>
      <c r="D171" s="4" t="str">
        <f>"2021015004"</f>
        <v>2021015004</v>
      </c>
      <c r="E171" s="4" t="str">
        <f t="shared" si="27"/>
        <v>50</v>
      </c>
      <c r="F171" s="4" t="str">
        <f>"04"</f>
        <v>04</v>
      </c>
      <c r="G171" s="4" t="s">
        <v>12</v>
      </c>
      <c r="H171" s="5">
        <v>0</v>
      </c>
      <c r="I171" s="6" t="s">
        <v>13</v>
      </c>
      <c r="J171" s="4">
        <f>SUMPRODUCT(--((A171=$A$3:$A$2785)*$H$3:$H$2785&gt;H171))+1</f>
        <v>19</v>
      </c>
    </row>
    <row r="172" s="1" customFormat="true" customHeight="true" spans="1:10">
      <c r="A172" s="4" t="str">
        <f t="shared" si="20"/>
        <v>008</v>
      </c>
      <c r="B172" s="4" t="s">
        <v>19</v>
      </c>
      <c r="C172" s="4" t="str">
        <f>"彭红"</f>
        <v>彭红</v>
      </c>
      <c r="D172" s="4" t="str">
        <f>"2021015005"</f>
        <v>2021015005</v>
      </c>
      <c r="E172" s="4" t="str">
        <f t="shared" si="27"/>
        <v>50</v>
      </c>
      <c r="F172" s="4" t="str">
        <f>"05"</f>
        <v>05</v>
      </c>
      <c r="G172" s="4" t="s">
        <v>12</v>
      </c>
      <c r="H172" s="5">
        <v>0</v>
      </c>
      <c r="I172" s="6" t="s">
        <v>13</v>
      </c>
      <c r="J172" s="4">
        <f>SUMPRODUCT(--((A172=$A$3:$A$2785)*$H$3:$H$2785&gt;H172))+1</f>
        <v>19</v>
      </c>
    </row>
    <row r="173" s="1" customFormat="true" customHeight="true" spans="1:10">
      <c r="A173" s="4" t="str">
        <f t="shared" si="20"/>
        <v>008</v>
      </c>
      <c r="B173" s="4" t="s">
        <v>19</v>
      </c>
      <c r="C173" s="4" t="str">
        <f>"肖勤容"</f>
        <v>肖勤容</v>
      </c>
      <c r="D173" s="4" t="str">
        <f>"2021015007"</f>
        <v>2021015007</v>
      </c>
      <c r="E173" s="4" t="str">
        <f t="shared" si="27"/>
        <v>50</v>
      </c>
      <c r="F173" s="4" t="str">
        <f>"07"</f>
        <v>07</v>
      </c>
      <c r="G173" s="4" t="s">
        <v>12</v>
      </c>
      <c r="H173" s="5">
        <v>0</v>
      </c>
      <c r="I173" s="6" t="s">
        <v>13</v>
      </c>
      <c r="J173" s="4">
        <f>SUMPRODUCT(--((A173=$A$3:$A$2785)*$H$3:$H$2785&gt;H173))+1</f>
        <v>19</v>
      </c>
    </row>
    <row r="174" s="1" customFormat="true" customHeight="true" spans="1:10">
      <c r="A174" s="4" t="str">
        <f t="shared" si="20"/>
        <v>008</v>
      </c>
      <c r="B174" s="4" t="s">
        <v>19</v>
      </c>
      <c r="C174" s="4" t="str">
        <f>"田宇"</f>
        <v>田宇</v>
      </c>
      <c r="D174" s="4" t="str">
        <f>"2021015008"</f>
        <v>2021015008</v>
      </c>
      <c r="E174" s="4" t="str">
        <f t="shared" si="27"/>
        <v>50</v>
      </c>
      <c r="F174" s="4" t="str">
        <f>"08"</f>
        <v>08</v>
      </c>
      <c r="G174" s="4" t="s">
        <v>12</v>
      </c>
      <c r="H174" s="5">
        <v>0</v>
      </c>
      <c r="I174" s="6" t="s">
        <v>13</v>
      </c>
      <c r="J174" s="4">
        <f>SUMPRODUCT(--((A174=$A$3:$A$2785)*$H$3:$H$2785&gt;H174))+1</f>
        <v>19</v>
      </c>
    </row>
    <row r="175" s="1" customFormat="true" customHeight="true" spans="1:10">
      <c r="A175" s="4" t="str">
        <f t="shared" si="20"/>
        <v>008</v>
      </c>
      <c r="B175" s="4" t="s">
        <v>19</v>
      </c>
      <c r="C175" s="4" t="str">
        <f>"周琪炳"</f>
        <v>周琪炳</v>
      </c>
      <c r="D175" s="4" t="str">
        <f>"2021015009"</f>
        <v>2021015009</v>
      </c>
      <c r="E175" s="4" t="str">
        <f t="shared" si="27"/>
        <v>50</v>
      </c>
      <c r="F175" s="4" t="str">
        <f>"09"</f>
        <v>09</v>
      </c>
      <c r="G175" s="4" t="s">
        <v>12</v>
      </c>
      <c r="H175" s="5">
        <v>0</v>
      </c>
      <c r="I175" s="6" t="s">
        <v>13</v>
      </c>
      <c r="J175" s="4">
        <f>SUMPRODUCT(--((A175=$A$3:$A$2785)*$H$3:$H$2785&gt;H175))+1</f>
        <v>19</v>
      </c>
    </row>
    <row r="176" s="1" customFormat="true" customHeight="true" spans="1:10">
      <c r="A176" s="4" t="str">
        <f t="shared" si="20"/>
        <v>008</v>
      </c>
      <c r="B176" s="4" t="s">
        <v>19</v>
      </c>
      <c r="C176" s="4" t="str">
        <f>"向颖"</f>
        <v>向颖</v>
      </c>
      <c r="D176" s="4" t="str">
        <f>"2021015011"</f>
        <v>2021015011</v>
      </c>
      <c r="E176" s="4" t="str">
        <f t="shared" si="27"/>
        <v>50</v>
      </c>
      <c r="F176" s="4" t="str">
        <f>"11"</f>
        <v>11</v>
      </c>
      <c r="G176" s="4" t="s">
        <v>12</v>
      </c>
      <c r="H176" s="5">
        <v>0</v>
      </c>
      <c r="I176" s="6" t="s">
        <v>13</v>
      </c>
      <c r="J176" s="4">
        <f>SUMPRODUCT(--((A176=$A$3:$A$2785)*$H$3:$H$2785&gt;H176))+1</f>
        <v>19</v>
      </c>
    </row>
    <row r="177" s="1" customFormat="true" customHeight="true" spans="1:10">
      <c r="A177" s="4" t="str">
        <f t="shared" si="20"/>
        <v>008</v>
      </c>
      <c r="B177" s="4" t="s">
        <v>19</v>
      </c>
      <c r="C177" s="4" t="str">
        <f>"张少华"</f>
        <v>张少华</v>
      </c>
      <c r="D177" s="4" t="str">
        <f>"2021015013"</f>
        <v>2021015013</v>
      </c>
      <c r="E177" s="4" t="str">
        <f t="shared" si="27"/>
        <v>50</v>
      </c>
      <c r="F177" s="4" t="str">
        <f>"13"</f>
        <v>13</v>
      </c>
      <c r="G177" s="4" t="s">
        <v>12</v>
      </c>
      <c r="H177" s="5">
        <v>0</v>
      </c>
      <c r="I177" s="6" t="s">
        <v>13</v>
      </c>
      <c r="J177" s="4">
        <f>SUMPRODUCT(--((A177=$A$3:$A$2785)*$H$3:$H$2785&gt;H177))+1</f>
        <v>19</v>
      </c>
    </row>
    <row r="178" s="1" customFormat="true" customHeight="true" spans="1:10">
      <c r="A178" s="4" t="str">
        <f t="shared" si="20"/>
        <v>008</v>
      </c>
      <c r="B178" s="4" t="s">
        <v>19</v>
      </c>
      <c r="C178" s="4" t="str">
        <f>"颜慧"</f>
        <v>颜慧</v>
      </c>
      <c r="D178" s="4" t="str">
        <f>"2021015014"</f>
        <v>2021015014</v>
      </c>
      <c r="E178" s="4" t="str">
        <f t="shared" si="27"/>
        <v>50</v>
      </c>
      <c r="F178" s="4" t="str">
        <f>"14"</f>
        <v>14</v>
      </c>
      <c r="G178" s="4" t="s">
        <v>12</v>
      </c>
      <c r="H178" s="5">
        <v>0</v>
      </c>
      <c r="I178" s="6" t="s">
        <v>13</v>
      </c>
      <c r="J178" s="4">
        <f>SUMPRODUCT(--((A178=$A$3:$A$2785)*$H$3:$H$2785&gt;H178))+1</f>
        <v>19</v>
      </c>
    </row>
    <row r="179" s="1" customFormat="true" customHeight="true" spans="1:10">
      <c r="A179" s="4" t="str">
        <f t="shared" si="20"/>
        <v>008</v>
      </c>
      <c r="B179" s="4" t="s">
        <v>19</v>
      </c>
      <c r="C179" s="4" t="str">
        <f>"姚杰"</f>
        <v>姚杰</v>
      </c>
      <c r="D179" s="4" t="str">
        <f>"2021015015"</f>
        <v>2021015015</v>
      </c>
      <c r="E179" s="4" t="str">
        <f t="shared" si="27"/>
        <v>50</v>
      </c>
      <c r="F179" s="4" t="str">
        <f>"15"</f>
        <v>15</v>
      </c>
      <c r="G179" s="4" t="s">
        <v>12</v>
      </c>
      <c r="H179" s="5">
        <v>0</v>
      </c>
      <c r="I179" s="6" t="s">
        <v>13</v>
      </c>
      <c r="J179" s="4">
        <f>SUMPRODUCT(--((A179=$A$3:$A$2785)*$H$3:$H$2785&gt;H179))+1</f>
        <v>19</v>
      </c>
    </row>
    <row r="180" s="1" customFormat="true" customHeight="true" spans="1:10">
      <c r="A180" s="4" t="str">
        <f t="shared" si="20"/>
        <v>008</v>
      </c>
      <c r="B180" s="4" t="s">
        <v>19</v>
      </c>
      <c r="C180" s="4" t="str">
        <f>"于叶霞"</f>
        <v>于叶霞</v>
      </c>
      <c r="D180" s="4" t="str">
        <f>"2021015017"</f>
        <v>2021015017</v>
      </c>
      <c r="E180" s="4" t="str">
        <f t="shared" si="27"/>
        <v>50</v>
      </c>
      <c r="F180" s="4" t="str">
        <f>"17"</f>
        <v>17</v>
      </c>
      <c r="G180" s="4" t="s">
        <v>12</v>
      </c>
      <c r="H180" s="5">
        <v>0</v>
      </c>
      <c r="I180" s="6" t="s">
        <v>13</v>
      </c>
      <c r="J180" s="4">
        <f>SUMPRODUCT(--((A180=$A$3:$A$2785)*$H$3:$H$2785&gt;H180))+1</f>
        <v>19</v>
      </c>
    </row>
    <row r="181" s="1" customFormat="true" customHeight="true" spans="1:10">
      <c r="A181" s="4" t="str">
        <f t="shared" si="20"/>
        <v>008</v>
      </c>
      <c r="B181" s="4" t="s">
        <v>19</v>
      </c>
      <c r="C181" s="4" t="str">
        <f>"龙吉艳"</f>
        <v>龙吉艳</v>
      </c>
      <c r="D181" s="4" t="str">
        <f>"2021015023"</f>
        <v>2021015023</v>
      </c>
      <c r="E181" s="4" t="str">
        <f t="shared" si="27"/>
        <v>50</v>
      </c>
      <c r="F181" s="4" t="str">
        <f>"23"</f>
        <v>23</v>
      </c>
      <c r="G181" s="4" t="s">
        <v>12</v>
      </c>
      <c r="H181" s="5">
        <v>0</v>
      </c>
      <c r="I181" s="6" t="s">
        <v>13</v>
      </c>
      <c r="J181" s="4">
        <f>SUMPRODUCT(--((A181=$A$3:$A$2785)*$H$3:$H$2785&gt;H181))+1</f>
        <v>19</v>
      </c>
    </row>
    <row r="182" s="1" customFormat="true" customHeight="true" spans="1:10">
      <c r="A182" s="4" t="str">
        <f t="shared" si="20"/>
        <v>008</v>
      </c>
      <c r="B182" s="4" t="s">
        <v>19</v>
      </c>
      <c r="C182" s="4" t="str">
        <f>"朱辣"</f>
        <v>朱辣</v>
      </c>
      <c r="D182" s="4" t="str">
        <f>"2021015025"</f>
        <v>2021015025</v>
      </c>
      <c r="E182" s="4" t="str">
        <f t="shared" si="27"/>
        <v>50</v>
      </c>
      <c r="F182" s="4" t="str">
        <f>"25"</f>
        <v>25</v>
      </c>
      <c r="G182" s="4" t="s">
        <v>12</v>
      </c>
      <c r="H182" s="5">
        <v>0</v>
      </c>
      <c r="I182" s="6" t="s">
        <v>13</v>
      </c>
      <c r="J182" s="4">
        <f>SUMPRODUCT(--((A182=$A$3:$A$2785)*$H$3:$H$2785&gt;H182))+1</f>
        <v>19</v>
      </c>
    </row>
    <row r="183" s="1" customFormat="true" customHeight="true" spans="1:10">
      <c r="A183" s="4" t="str">
        <f t="shared" si="20"/>
        <v>008</v>
      </c>
      <c r="B183" s="4" t="s">
        <v>19</v>
      </c>
      <c r="C183" s="4" t="str">
        <f>"邓庆"</f>
        <v>邓庆</v>
      </c>
      <c r="D183" s="4" t="str">
        <f>"2021015027"</f>
        <v>2021015027</v>
      </c>
      <c r="E183" s="4" t="str">
        <f t="shared" si="27"/>
        <v>50</v>
      </c>
      <c r="F183" s="4" t="str">
        <f>"27"</f>
        <v>27</v>
      </c>
      <c r="G183" s="4" t="s">
        <v>12</v>
      </c>
      <c r="H183" s="5">
        <v>0</v>
      </c>
      <c r="I183" s="6" t="s">
        <v>13</v>
      </c>
      <c r="J183" s="4">
        <f>SUMPRODUCT(--((A183=$A$3:$A$2785)*$H$3:$H$2785&gt;H183))+1</f>
        <v>19</v>
      </c>
    </row>
    <row r="184" s="1" customFormat="true" customHeight="true" spans="1:10">
      <c r="A184" s="4" t="str">
        <f t="shared" si="20"/>
        <v>008</v>
      </c>
      <c r="B184" s="4" t="s">
        <v>19</v>
      </c>
      <c r="C184" s="4" t="str">
        <f>"龙勇"</f>
        <v>龙勇</v>
      </c>
      <c r="D184" s="4" t="str">
        <f>"2021015028"</f>
        <v>2021015028</v>
      </c>
      <c r="E184" s="4" t="str">
        <f t="shared" si="27"/>
        <v>50</v>
      </c>
      <c r="F184" s="4" t="str">
        <f>"28"</f>
        <v>28</v>
      </c>
      <c r="G184" s="4" t="s">
        <v>12</v>
      </c>
      <c r="H184" s="5">
        <v>0</v>
      </c>
      <c r="I184" s="6" t="s">
        <v>13</v>
      </c>
      <c r="J184" s="4">
        <f>SUMPRODUCT(--((A184=$A$3:$A$2785)*$H$3:$H$2785&gt;H184))+1</f>
        <v>19</v>
      </c>
    </row>
    <row r="185" s="1" customFormat="true" customHeight="true" spans="1:10">
      <c r="A185" s="4" t="str">
        <f t="shared" ref="A185:A248" si="28">"009"</f>
        <v>009</v>
      </c>
      <c r="B185" s="4" t="s">
        <v>20</v>
      </c>
      <c r="C185" s="4" t="str">
        <f>"曾祥勇"</f>
        <v>曾祥勇</v>
      </c>
      <c r="D185" s="4" t="str">
        <f>"2021010402"</f>
        <v>2021010402</v>
      </c>
      <c r="E185" s="4" t="str">
        <f t="shared" ref="E185:E187" si="29">"04"</f>
        <v>04</v>
      </c>
      <c r="F185" s="4" t="str">
        <f>"02"</f>
        <v>02</v>
      </c>
      <c r="G185" s="4" t="s">
        <v>12</v>
      </c>
      <c r="H185" s="5">
        <v>75.55</v>
      </c>
      <c r="I185" s="4"/>
      <c r="J185" s="4">
        <f>SUMPRODUCT(--((A185=$A$3:$A$2785)*$H$3:$H$2785&gt;H185))+1</f>
        <v>1</v>
      </c>
    </row>
    <row r="186" s="1" customFormat="true" customHeight="true" spans="1:10">
      <c r="A186" s="4" t="str">
        <f t="shared" si="28"/>
        <v>009</v>
      </c>
      <c r="B186" s="4" t="s">
        <v>20</v>
      </c>
      <c r="C186" s="4" t="str">
        <f>"姜丽丽"</f>
        <v>姜丽丽</v>
      </c>
      <c r="D186" s="4" t="str">
        <f>"2021010430"</f>
        <v>2021010430</v>
      </c>
      <c r="E186" s="4" t="str">
        <f t="shared" si="29"/>
        <v>04</v>
      </c>
      <c r="F186" s="4" t="str">
        <f>"30"</f>
        <v>30</v>
      </c>
      <c r="G186" s="4" t="s">
        <v>12</v>
      </c>
      <c r="H186" s="5">
        <v>73.65</v>
      </c>
      <c r="I186" s="4"/>
      <c r="J186" s="4">
        <f>SUMPRODUCT(--((A186=$A$3:$A$2785)*$H$3:$H$2785&gt;H186))+1</f>
        <v>2</v>
      </c>
    </row>
    <row r="187" s="1" customFormat="true" customHeight="true" spans="1:10">
      <c r="A187" s="4" t="str">
        <f t="shared" si="28"/>
        <v>009</v>
      </c>
      <c r="B187" s="4" t="s">
        <v>20</v>
      </c>
      <c r="C187" s="4" t="str">
        <f>"雷雨晴"</f>
        <v>雷雨晴</v>
      </c>
      <c r="D187" s="4" t="str">
        <f>"2021010408"</f>
        <v>2021010408</v>
      </c>
      <c r="E187" s="4" t="str">
        <f t="shared" si="29"/>
        <v>04</v>
      </c>
      <c r="F187" s="4" t="str">
        <f>"08"</f>
        <v>08</v>
      </c>
      <c r="G187" s="4" t="s">
        <v>12</v>
      </c>
      <c r="H187" s="5">
        <v>72.7</v>
      </c>
      <c r="I187" s="4"/>
      <c r="J187" s="4">
        <f>SUMPRODUCT(--((A187=$A$3:$A$2785)*$H$3:$H$2785&gt;H187))+1</f>
        <v>3</v>
      </c>
    </row>
    <row r="188" s="1" customFormat="true" customHeight="true" spans="1:10">
      <c r="A188" s="4" t="str">
        <f t="shared" si="28"/>
        <v>009</v>
      </c>
      <c r="B188" s="4" t="s">
        <v>20</v>
      </c>
      <c r="C188" s="4" t="str">
        <f>"曾阁"</f>
        <v>曾阁</v>
      </c>
      <c r="D188" s="4" t="str">
        <f>"2021010218"</f>
        <v>2021010218</v>
      </c>
      <c r="E188" s="4" t="str">
        <f t="shared" ref="E188:E193" si="30">"02"</f>
        <v>02</v>
      </c>
      <c r="F188" s="4" t="str">
        <f>"18"</f>
        <v>18</v>
      </c>
      <c r="G188" s="4" t="s">
        <v>12</v>
      </c>
      <c r="H188" s="5">
        <v>71.75</v>
      </c>
      <c r="I188" s="4"/>
      <c r="J188" s="4">
        <f>SUMPRODUCT(--((A188=$A$3:$A$2785)*$H$3:$H$2785&gt;H188))+1</f>
        <v>4</v>
      </c>
    </row>
    <row r="189" s="1" customFormat="true" customHeight="true" spans="1:10">
      <c r="A189" s="4" t="str">
        <f t="shared" si="28"/>
        <v>009</v>
      </c>
      <c r="B189" s="4" t="s">
        <v>20</v>
      </c>
      <c r="C189" s="4" t="str">
        <f>"陈秀"</f>
        <v>陈秀</v>
      </c>
      <c r="D189" s="4" t="str">
        <f>"2021010216"</f>
        <v>2021010216</v>
      </c>
      <c r="E189" s="4" t="str">
        <f t="shared" si="30"/>
        <v>02</v>
      </c>
      <c r="F189" s="4" t="str">
        <f>"16"</f>
        <v>16</v>
      </c>
      <c r="G189" s="4" t="s">
        <v>12</v>
      </c>
      <c r="H189" s="5">
        <v>70</v>
      </c>
      <c r="I189" s="4"/>
      <c r="J189" s="4">
        <f>SUMPRODUCT(--((A189=$A$3:$A$2785)*$H$3:$H$2785&gt;H189))+1</f>
        <v>5</v>
      </c>
    </row>
    <row r="190" s="1" customFormat="true" customHeight="true" spans="1:10">
      <c r="A190" s="4" t="str">
        <f t="shared" si="28"/>
        <v>009</v>
      </c>
      <c r="B190" s="4" t="s">
        <v>20</v>
      </c>
      <c r="C190" s="4" t="str">
        <f>"李金莲"</f>
        <v>李金莲</v>
      </c>
      <c r="D190" s="4" t="str">
        <f>"2021010508"</f>
        <v>2021010508</v>
      </c>
      <c r="E190" s="4" t="str">
        <f>"05"</f>
        <v>05</v>
      </c>
      <c r="F190" s="4" t="str">
        <f>"08"</f>
        <v>08</v>
      </c>
      <c r="G190" s="4" t="s">
        <v>12</v>
      </c>
      <c r="H190" s="5">
        <v>69.9</v>
      </c>
      <c r="I190" s="4"/>
      <c r="J190" s="4">
        <f>SUMPRODUCT(--((A190=$A$3:$A$2785)*$H$3:$H$2785&gt;H190))+1</f>
        <v>6</v>
      </c>
    </row>
    <row r="191" s="1" customFormat="true" customHeight="true" spans="1:10">
      <c r="A191" s="4" t="str">
        <f t="shared" si="28"/>
        <v>009</v>
      </c>
      <c r="B191" s="4" t="s">
        <v>20</v>
      </c>
      <c r="C191" s="4" t="str">
        <f>"周景华"</f>
        <v>周景华</v>
      </c>
      <c r="D191" s="4" t="str">
        <f>"2021010424"</f>
        <v>2021010424</v>
      </c>
      <c r="E191" s="4" t="str">
        <f>"04"</f>
        <v>04</v>
      </c>
      <c r="F191" s="4" t="str">
        <f>"24"</f>
        <v>24</v>
      </c>
      <c r="G191" s="4" t="s">
        <v>12</v>
      </c>
      <c r="H191" s="5">
        <v>69.85</v>
      </c>
      <c r="I191" s="4"/>
      <c r="J191" s="4">
        <f>SUMPRODUCT(--((A191=$A$3:$A$2785)*$H$3:$H$2785&gt;H191))+1</f>
        <v>7</v>
      </c>
    </row>
    <row r="192" s="1" customFormat="true" customHeight="true" spans="1:10">
      <c r="A192" s="4" t="str">
        <f t="shared" si="28"/>
        <v>009</v>
      </c>
      <c r="B192" s="4" t="s">
        <v>20</v>
      </c>
      <c r="C192" s="4" t="str">
        <f>"杨炜尘"</f>
        <v>杨炜尘</v>
      </c>
      <c r="D192" s="4" t="str">
        <f>"2021010509"</f>
        <v>2021010509</v>
      </c>
      <c r="E192" s="4" t="str">
        <f>"05"</f>
        <v>05</v>
      </c>
      <c r="F192" s="4" t="str">
        <f>"09"</f>
        <v>09</v>
      </c>
      <c r="G192" s="4" t="s">
        <v>12</v>
      </c>
      <c r="H192" s="5">
        <v>69.65</v>
      </c>
      <c r="I192" s="4"/>
      <c r="J192" s="4">
        <f>SUMPRODUCT(--((A192=$A$3:$A$2785)*$H$3:$H$2785&gt;H192))+1</f>
        <v>8</v>
      </c>
    </row>
    <row r="193" s="1" customFormat="true" customHeight="true" spans="1:10">
      <c r="A193" s="4" t="str">
        <f t="shared" si="28"/>
        <v>009</v>
      </c>
      <c r="B193" s="4" t="s">
        <v>20</v>
      </c>
      <c r="C193" s="4" t="str">
        <f>"黄小雪"</f>
        <v>黄小雪</v>
      </c>
      <c r="D193" s="4" t="str">
        <f>"2021010229"</f>
        <v>2021010229</v>
      </c>
      <c r="E193" s="4" t="str">
        <f t="shared" si="30"/>
        <v>02</v>
      </c>
      <c r="F193" s="4" t="str">
        <f>"29"</f>
        <v>29</v>
      </c>
      <c r="G193" s="4" t="s">
        <v>12</v>
      </c>
      <c r="H193" s="5">
        <v>69.3</v>
      </c>
      <c r="I193" s="4"/>
      <c r="J193" s="4">
        <f>SUMPRODUCT(--((A193=$A$3:$A$2785)*$H$3:$H$2785&gt;H193))+1</f>
        <v>9</v>
      </c>
    </row>
    <row r="194" s="1" customFormat="true" customHeight="true" spans="1:10">
      <c r="A194" s="4" t="str">
        <f t="shared" si="28"/>
        <v>009</v>
      </c>
      <c r="B194" s="4" t="s">
        <v>20</v>
      </c>
      <c r="C194" s="4" t="str">
        <f>"舒新"</f>
        <v>舒新</v>
      </c>
      <c r="D194" s="4" t="str">
        <f>"2021010307"</f>
        <v>2021010307</v>
      </c>
      <c r="E194" s="4" t="str">
        <f>"03"</f>
        <v>03</v>
      </c>
      <c r="F194" s="4" t="str">
        <f>"07"</f>
        <v>07</v>
      </c>
      <c r="G194" s="4" t="s">
        <v>12</v>
      </c>
      <c r="H194" s="5">
        <v>69.2</v>
      </c>
      <c r="I194" s="4"/>
      <c r="J194" s="4">
        <f>SUMPRODUCT(--((A194=$A$3:$A$2785)*$H$3:$H$2785&gt;H194))+1</f>
        <v>10</v>
      </c>
    </row>
    <row r="195" s="1" customFormat="true" customHeight="true" spans="1:10">
      <c r="A195" s="4" t="str">
        <f t="shared" si="28"/>
        <v>009</v>
      </c>
      <c r="B195" s="4" t="s">
        <v>20</v>
      </c>
      <c r="C195" s="4" t="str">
        <f>"朱苗"</f>
        <v>朱苗</v>
      </c>
      <c r="D195" s="4" t="str">
        <f>"2021010422"</f>
        <v>2021010422</v>
      </c>
      <c r="E195" s="4" t="str">
        <f t="shared" ref="E195:E199" si="31">"04"</f>
        <v>04</v>
      </c>
      <c r="F195" s="4" t="str">
        <f>"22"</f>
        <v>22</v>
      </c>
      <c r="G195" s="4" t="s">
        <v>12</v>
      </c>
      <c r="H195" s="5">
        <v>69.2</v>
      </c>
      <c r="I195" s="4"/>
      <c r="J195" s="4">
        <f>SUMPRODUCT(--((A195=$A$3:$A$2785)*$H$3:$H$2785&gt;H195))+1</f>
        <v>10</v>
      </c>
    </row>
    <row r="196" s="1" customFormat="true" customHeight="true" spans="1:10">
      <c r="A196" s="4" t="str">
        <f t="shared" si="28"/>
        <v>009</v>
      </c>
      <c r="B196" s="4" t="s">
        <v>20</v>
      </c>
      <c r="C196" s="4" t="str">
        <f>"刘洋"</f>
        <v>刘洋</v>
      </c>
      <c r="D196" s="4" t="str">
        <f>"2021010226"</f>
        <v>2021010226</v>
      </c>
      <c r="E196" s="4" t="str">
        <f t="shared" ref="E196:E200" si="32">"02"</f>
        <v>02</v>
      </c>
      <c r="F196" s="4" t="str">
        <f>"26"</f>
        <v>26</v>
      </c>
      <c r="G196" s="4" t="s">
        <v>12</v>
      </c>
      <c r="H196" s="5">
        <v>68.9</v>
      </c>
      <c r="I196" s="4"/>
      <c r="J196" s="4">
        <f>SUMPRODUCT(--((A196=$A$3:$A$2785)*$H$3:$H$2785&gt;H196))+1</f>
        <v>12</v>
      </c>
    </row>
    <row r="197" s="1" customFormat="true" customHeight="true" spans="1:10">
      <c r="A197" s="4" t="str">
        <f t="shared" si="28"/>
        <v>009</v>
      </c>
      <c r="B197" s="4" t="s">
        <v>20</v>
      </c>
      <c r="C197" s="4" t="str">
        <f>"杨璐瑶"</f>
        <v>杨璐瑶</v>
      </c>
      <c r="D197" s="4" t="str">
        <f>"2021010219"</f>
        <v>2021010219</v>
      </c>
      <c r="E197" s="4" t="str">
        <f t="shared" si="32"/>
        <v>02</v>
      </c>
      <c r="F197" s="4" t="str">
        <f>"19"</f>
        <v>19</v>
      </c>
      <c r="G197" s="4" t="s">
        <v>12</v>
      </c>
      <c r="H197" s="5">
        <v>68.45</v>
      </c>
      <c r="I197" s="4"/>
      <c r="J197" s="4">
        <f>SUMPRODUCT(--((A197=$A$3:$A$2785)*$H$3:$H$2785&gt;H197))+1</f>
        <v>13</v>
      </c>
    </row>
    <row r="198" s="1" customFormat="true" customHeight="true" spans="1:10">
      <c r="A198" s="4" t="str">
        <f t="shared" si="28"/>
        <v>009</v>
      </c>
      <c r="B198" s="4" t="s">
        <v>20</v>
      </c>
      <c r="C198" s="4" t="str">
        <f>"田静"</f>
        <v>田静</v>
      </c>
      <c r="D198" s="4" t="str">
        <f>"2021010404"</f>
        <v>2021010404</v>
      </c>
      <c r="E198" s="4" t="str">
        <f t="shared" si="31"/>
        <v>04</v>
      </c>
      <c r="F198" s="4" t="str">
        <f>"04"</f>
        <v>04</v>
      </c>
      <c r="G198" s="4" t="s">
        <v>12</v>
      </c>
      <c r="H198" s="5">
        <v>68.45</v>
      </c>
      <c r="I198" s="4"/>
      <c r="J198" s="4">
        <f>SUMPRODUCT(--((A198=$A$3:$A$2785)*$H$3:$H$2785&gt;H198))+1</f>
        <v>13</v>
      </c>
    </row>
    <row r="199" s="1" customFormat="true" customHeight="true" spans="1:10">
      <c r="A199" s="4" t="str">
        <f t="shared" si="28"/>
        <v>009</v>
      </c>
      <c r="B199" s="4" t="s">
        <v>20</v>
      </c>
      <c r="C199" s="4" t="str">
        <f>"郭亚萍"</f>
        <v>郭亚萍</v>
      </c>
      <c r="D199" s="4" t="str">
        <f>"2021010418"</f>
        <v>2021010418</v>
      </c>
      <c r="E199" s="4" t="str">
        <f t="shared" si="31"/>
        <v>04</v>
      </c>
      <c r="F199" s="4" t="str">
        <f>"18"</f>
        <v>18</v>
      </c>
      <c r="G199" s="4" t="s">
        <v>12</v>
      </c>
      <c r="H199" s="5">
        <v>67.8</v>
      </c>
      <c r="I199" s="4"/>
      <c r="J199" s="4">
        <f>SUMPRODUCT(--((A199=$A$3:$A$2785)*$H$3:$H$2785&gt;H199))+1</f>
        <v>15</v>
      </c>
    </row>
    <row r="200" s="1" customFormat="true" customHeight="true" spans="1:10">
      <c r="A200" s="4" t="str">
        <f t="shared" si="28"/>
        <v>009</v>
      </c>
      <c r="B200" s="4" t="s">
        <v>20</v>
      </c>
      <c r="C200" s="4" t="str">
        <f>"曾洪"</f>
        <v>曾洪</v>
      </c>
      <c r="D200" s="4" t="str">
        <f>"2021010227"</f>
        <v>2021010227</v>
      </c>
      <c r="E200" s="4" t="str">
        <f t="shared" si="32"/>
        <v>02</v>
      </c>
      <c r="F200" s="4" t="str">
        <f>"27"</f>
        <v>27</v>
      </c>
      <c r="G200" s="4" t="s">
        <v>12</v>
      </c>
      <c r="H200" s="5">
        <v>67.65</v>
      </c>
      <c r="I200" s="4"/>
      <c r="J200" s="4">
        <f>SUMPRODUCT(--((A200=$A$3:$A$2785)*$H$3:$H$2785&gt;H200))+1</f>
        <v>16</v>
      </c>
    </row>
    <row r="201" s="1" customFormat="true" customHeight="true" spans="1:10">
      <c r="A201" s="4" t="str">
        <f t="shared" si="28"/>
        <v>009</v>
      </c>
      <c r="B201" s="4" t="s">
        <v>20</v>
      </c>
      <c r="C201" s="4" t="str">
        <f>"男"</f>
        <v>男</v>
      </c>
      <c r="D201" s="4" t="str">
        <f>"2021010420"</f>
        <v>2021010420</v>
      </c>
      <c r="E201" s="4" t="str">
        <f>"04"</f>
        <v>04</v>
      </c>
      <c r="F201" s="4" t="str">
        <f>"20"</f>
        <v>20</v>
      </c>
      <c r="G201" s="4" t="s">
        <v>12</v>
      </c>
      <c r="H201" s="5">
        <v>67.6</v>
      </c>
      <c r="I201" s="4"/>
      <c r="J201" s="4">
        <f>SUMPRODUCT(--((A201=$A$3:$A$2785)*$H$3:$H$2785&gt;H201))+1</f>
        <v>17</v>
      </c>
    </row>
    <row r="202" s="1" customFormat="true" customHeight="true" spans="1:10">
      <c r="A202" s="4" t="str">
        <f t="shared" si="28"/>
        <v>009</v>
      </c>
      <c r="B202" s="4" t="s">
        <v>20</v>
      </c>
      <c r="C202" s="4" t="str">
        <f>"杨红"</f>
        <v>杨红</v>
      </c>
      <c r="D202" s="4" t="str">
        <f>"2021010506"</f>
        <v>2021010506</v>
      </c>
      <c r="E202" s="4" t="str">
        <f>"05"</f>
        <v>05</v>
      </c>
      <c r="F202" s="4" t="str">
        <f>"06"</f>
        <v>06</v>
      </c>
      <c r="G202" s="4" t="s">
        <v>12</v>
      </c>
      <c r="H202" s="5">
        <v>67.35</v>
      </c>
      <c r="I202" s="4"/>
      <c r="J202" s="4">
        <f>SUMPRODUCT(--((A202=$A$3:$A$2785)*$H$3:$H$2785&gt;H202))+1</f>
        <v>18</v>
      </c>
    </row>
    <row r="203" s="1" customFormat="true" customHeight="true" spans="1:10">
      <c r="A203" s="4" t="str">
        <f t="shared" si="28"/>
        <v>009</v>
      </c>
      <c r="B203" s="4" t="s">
        <v>20</v>
      </c>
      <c r="C203" s="4" t="str">
        <f>"黄菊"</f>
        <v>黄菊</v>
      </c>
      <c r="D203" s="4" t="str">
        <f>"2021010211"</f>
        <v>2021010211</v>
      </c>
      <c r="E203" s="4" t="str">
        <f>"02"</f>
        <v>02</v>
      </c>
      <c r="F203" s="4" t="str">
        <f>"11"</f>
        <v>11</v>
      </c>
      <c r="G203" s="4" t="s">
        <v>12</v>
      </c>
      <c r="H203" s="5">
        <v>67.25</v>
      </c>
      <c r="I203" s="4"/>
      <c r="J203" s="4">
        <f>SUMPRODUCT(--((A203=$A$3:$A$2785)*$H$3:$H$2785&gt;H203))+1</f>
        <v>19</v>
      </c>
    </row>
    <row r="204" s="1" customFormat="true" customHeight="true" spans="1:10">
      <c r="A204" s="4" t="str">
        <f t="shared" si="28"/>
        <v>009</v>
      </c>
      <c r="B204" s="4" t="s">
        <v>20</v>
      </c>
      <c r="C204" s="4" t="str">
        <f>"蔡晨"</f>
        <v>蔡晨</v>
      </c>
      <c r="D204" s="4" t="str">
        <f>"2021010321"</f>
        <v>2021010321</v>
      </c>
      <c r="E204" s="4" t="str">
        <f t="shared" ref="E204:E209" si="33">"03"</f>
        <v>03</v>
      </c>
      <c r="F204" s="4" t="str">
        <f>"21"</f>
        <v>21</v>
      </c>
      <c r="G204" s="4" t="s">
        <v>12</v>
      </c>
      <c r="H204" s="5">
        <v>65.9</v>
      </c>
      <c r="I204" s="4"/>
      <c r="J204" s="4">
        <f>SUMPRODUCT(--((A204=$A$3:$A$2785)*$H$3:$H$2785&gt;H204))+1</f>
        <v>20</v>
      </c>
    </row>
    <row r="205" s="1" customFormat="true" customHeight="true" spans="1:10">
      <c r="A205" s="4" t="str">
        <f t="shared" si="28"/>
        <v>009</v>
      </c>
      <c r="B205" s="4" t="s">
        <v>20</v>
      </c>
      <c r="C205" s="4" t="str">
        <f>"杨吉江"</f>
        <v>杨吉江</v>
      </c>
      <c r="D205" s="4" t="str">
        <f>"2021010423"</f>
        <v>2021010423</v>
      </c>
      <c r="E205" s="4" t="str">
        <f>"04"</f>
        <v>04</v>
      </c>
      <c r="F205" s="4" t="str">
        <f>"23"</f>
        <v>23</v>
      </c>
      <c r="G205" s="4" t="s">
        <v>12</v>
      </c>
      <c r="H205" s="5">
        <v>65.85</v>
      </c>
      <c r="I205" s="4"/>
      <c r="J205" s="4">
        <f>SUMPRODUCT(--((A205=$A$3:$A$2785)*$H$3:$H$2785&gt;H205))+1</f>
        <v>21</v>
      </c>
    </row>
    <row r="206" s="1" customFormat="true" customHeight="true" spans="1:10">
      <c r="A206" s="4" t="str">
        <f t="shared" si="28"/>
        <v>009</v>
      </c>
      <c r="B206" s="4" t="s">
        <v>20</v>
      </c>
      <c r="C206" s="4" t="str">
        <f>"张一顼"</f>
        <v>张一顼</v>
      </c>
      <c r="D206" s="4" t="str">
        <f>"2021010301"</f>
        <v>2021010301</v>
      </c>
      <c r="E206" s="4" t="str">
        <f t="shared" si="33"/>
        <v>03</v>
      </c>
      <c r="F206" s="4" t="str">
        <f>"01"</f>
        <v>01</v>
      </c>
      <c r="G206" s="4" t="s">
        <v>12</v>
      </c>
      <c r="H206" s="5">
        <v>64.6</v>
      </c>
      <c r="I206" s="4"/>
      <c r="J206" s="4">
        <f>SUMPRODUCT(--((A206=$A$3:$A$2785)*$H$3:$H$2785&gt;H206))+1</f>
        <v>22</v>
      </c>
    </row>
    <row r="207" s="1" customFormat="true" customHeight="true" spans="1:10">
      <c r="A207" s="4" t="str">
        <f t="shared" si="28"/>
        <v>009</v>
      </c>
      <c r="B207" s="4" t="s">
        <v>20</v>
      </c>
      <c r="C207" s="4" t="str">
        <f>"吴亚"</f>
        <v>吴亚</v>
      </c>
      <c r="D207" s="4" t="str">
        <f>"2021010429"</f>
        <v>2021010429</v>
      </c>
      <c r="E207" s="4" t="str">
        <f>"04"</f>
        <v>04</v>
      </c>
      <c r="F207" s="4" t="str">
        <f>"29"</f>
        <v>29</v>
      </c>
      <c r="G207" s="4" t="s">
        <v>12</v>
      </c>
      <c r="H207" s="5">
        <v>63.35</v>
      </c>
      <c r="I207" s="4"/>
      <c r="J207" s="4">
        <f>SUMPRODUCT(--((A207=$A$3:$A$2785)*$H$3:$H$2785&gt;H207))+1</f>
        <v>23</v>
      </c>
    </row>
    <row r="208" s="1" customFormat="true" customHeight="true" spans="1:10">
      <c r="A208" s="4" t="str">
        <f t="shared" si="28"/>
        <v>009</v>
      </c>
      <c r="B208" s="4" t="s">
        <v>20</v>
      </c>
      <c r="C208" s="4" t="str">
        <f>"彭再兰"</f>
        <v>彭再兰</v>
      </c>
      <c r="D208" s="4" t="str">
        <f>"2021010310"</f>
        <v>2021010310</v>
      </c>
      <c r="E208" s="4" t="str">
        <f t="shared" si="33"/>
        <v>03</v>
      </c>
      <c r="F208" s="4" t="str">
        <f>"10"</f>
        <v>10</v>
      </c>
      <c r="G208" s="4" t="s">
        <v>12</v>
      </c>
      <c r="H208" s="5">
        <v>63.25</v>
      </c>
      <c r="I208" s="4"/>
      <c r="J208" s="4">
        <f>SUMPRODUCT(--((A208=$A$3:$A$2785)*$H$3:$H$2785&gt;H208))+1</f>
        <v>24</v>
      </c>
    </row>
    <row r="209" s="1" customFormat="true" customHeight="true" spans="1:10">
      <c r="A209" s="4" t="str">
        <f t="shared" si="28"/>
        <v>009</v>
      </c>
      <c r="B209" s="4" t="s">
        <v>20</v>
      </c>
      <c r="C209" s="4" t="str">
        <f>"刘霖"</f>
        <v>刘霖</v>
      </c>
      <c r="D209" s="4" t="str">
        <f>"2021010306"</f>
        <v>2021010306</v>
      </c>
      <c r="E209" s="4" t="str">
        <f t="shared" si="33"/>
        <v>03</v>
      </c>
      <c r="F209" s="4" t="str">
        <f>"06"</f>
        <v>06</v>
      </c>
      <c r="G209" s="4" t="s">
        <v>12</v>
      </c>
      <c r="H209" s="5">
        <v>62.45</v>
      </c>
      <c r="I209" s="4"/>
      <c r="J209" s="4">
        <f>SUMPRODUCT(--((A209=$A$3:$A$2785)*$H$3:$H$2785&gt;H209))+1</f>
        <v>25</v>
      </c>
    </row>
    <row r="210" s="1" customFormat="true" customHeight="true" spans="1:10">
      <c r="A210" s="4" t="str">
        <f t="shared" si="28"/>
        <v>009</v>
      </c>
      <c r="B210" s="4" t="s">
        <v>20</v>
      </c>
      <c r="C210" s="4" t="str">
        <f>"吴虹颖"</f>
        <v>吴虹颖</v>
      </c>
      <c r="D210" s="4" t="str">
        <f>"2021010501"</f>
        <v>2021010501</v>
      </c>
      <c r="E210" s="4" t="str">
        <f>"05"</f>
        <v>05</v>
      </c>
      <c r="F210" s="4" t="str">
        <f>"01"</f>
        <v>01</v>
      </c>
      <c r="G210" s="4" t="s">
        <v>12</v>
      </c>
      <c r="H210" s="5">
        <v>62.25</v>
      </c>
      <c r="I210" s="4"/>
      <c r="J210" s="4">
        <f>SUMPRODUCT(--((A210=$A$3:$A$2785)*$H$3:$H$2785&gt;H210))+1</f>
        <v>26</v>
      </c>
    </row>
    <row r="211" s="1" customFormat="true" customHeight="true" spans="1:10">
      <c r="A211" s="4" t="str">
        <f t="shared" si="28"/>
        <v>009</v>
      </c>
      <c r="B211" s="4" t="s">
        <v>20</v>
      </c>
      <c r="C211" s="4" t="str">
        <f>"梁玉蓉"</f>
        <v>梁玉蓉</v>
      </c>
      <c r="D211" s="4" t="str">
        <f>"2021010313"</f>
        <v>2021010313</v>
      </c>
      <c r="E211" s="4" t="str">
        <f t="shared" ref="E211:E217" si="34">"03"</f>
        <v>03</v>
      </c>
      <c r="F211" s="4" t="str">
        <f>"13"</f>
        <v>13</v>
      </c>
      <c r="G211" s="4" t="s">
        <v>12</v>
      </c>
      <c r="H211" s="5">
        <v>61.15</v>
      </c>
      <c r="I211" s="4"/>
      <c r="J211" s="4">
        <f>SUMPRODUCT(--((A211=$A$3:$A$2785)*$H$3:$H$2785&gt;H211))+1</f>
        <v>27</v>
      </c>
    </row>
    <row r="212" s="1" customFormat="true" customHeight="true" spans="1:10">
      <c r="A212" s="4" t="str">
        <f t="shared" si="28"/>
        <v>009</v>
      </c>
      <c r="B212" s="4" t="s">
        <v>20</v>
      </c>
      <c r="C212" s="4" t="str">
        <f>"向芳园"</f>
        <v>向芳园</v>
      </c>
      <c r="D212" s="4" t="str">
        <f>"2021010427"</f>
        <v>2021010427</v>
      </c>
      <c r="E212" s="4" t="str">
        <f>"04"</f>
        <v>04</v>
      </c>
      <c r="F212" s="4" t="str">
        <f>"27"</f>
        <v>27</v>
      </c>
      <c r="G212" s="4" t="s">
        <v>12</v>
      </c>
      <c r="H212" s="5">
        <v>60.8</v>
      </c>
      <c r="I212" s="4"/>
      <c r="J212" s="4">
        <f>SUMPRODUCT(--((A212=$A$3:$A$2785)*$H$3:$H$2785&gt;H212))+1</f>
        <v>28</v>
      </c>
    </row>
    <row r="213" s="1" customFormat="true" customHeight="true" spans="1:10">
      <c r="A213" s="4" t="str">
        <f t="shared" si="28"/>
        <v>009</v>
      </c>
      <c r="B213" s="4" t="s">
        <v>20</v>
      </c>
      <c r="C213" s="4" t="str">
        <f>"肖焙丽"</f>
        <v>肖焙丽</v>
      </c>
      <c r="D213" s="4" t="str">
        <f>"2021010303"</f>
        <v>2021010303</v>
      </c>
      <c r="E213" s="4" t="str">
        <f t="shared" si="34"/>
        <v>03</v>
      </c>
      <c r="F213" s="4" t="str">
        <f>"03"</f>
        <v>03</v>
      </c>
      <c r="G213" s="4" t="s">
        <v>12</v>
      </c>
      <c r="H213" s="5">
        <v>60.55</v>
      </c>
      <c r="I213" s="4"/>
      <c r="J213" s="4">
        <f>SUMPRODUCT(--((A213=$A$3:$A$2785)*$H$3:$H$2785&gt;H213))+1</f>
        <v>29</v>
      </c>
    </row>
    <row r="214" s="1" customFormat="true" customHeight="true" spans="1:10">
      <c r="A214" s="4" t="str">
        <f t="shared" si="28"/>
        <v>009</v>
      </c>
      <c r="B214" s="4" t="s">
        <v>20</v>
      </c>
      <c r="C214" s="4" t="str">
        <f>"伍玉华"</f>
        <v>伍玉华</v>
      </c>
      <c r="D214" s="4" t="str">
        <f>"2021010407"</f>
        <v>2021010407</v>
      </c>
      <c r="E214" s="4" t="str">
        <f t="shared" ref="E214:E219" si="35">"04"</f>
        <v>04</v>
      </c>
      <c r="F214" s="4" t="str">
        <f>"07"</f>
        <v>07</v>
      </c>
      <c r="G214" s="4" t="s">
        <v>12</v>
      </c>
      <c r="H214" s="5">
        <v>60.45</v>
      </c>
      <c r="I214" s="4"/>
      <c r="J214" s="4">
        <f>SUMPRODUCT(--((A214=$A$3:$A$2785)*$H$3:$H$2785&gt;H214))+1</f>
        <v>30</v>
      </c>
    </row>
    <row r="215" s="1" customFormat="true" customHeight="true" spans="1:10">
      <c r="A215" s="4" t="str">
        <f t="shared" si="28"/>
        <v>009</v>
      </c>
      <c r="B215" s="4" t="s">
        <v>20</v>
      </c>
      <c r="C215" s="4" t="str">
        <f>"田丝"</f>
        <v>田丝</v>
      </c>
      <c r="D215" s="4" t="str">
        <f>"2021010510"</f>
        <v>2021010510</v>
      </c>
      <c r="E215" s="4" t="str">
        <f>"05"</f>
        <v>05</v>
      </c>
      <c r="F215" s="4" t="str">
        <f>"10"</f>
        <v>10</v>
      </c>
      <c r="G215" s="4" t="s">
        <v>12</v>
      </c>
      <c r="H215" s="5">
        <v>59.15</v>
      </c>
      <c r="I215" s="4"/>
      <c r="J215" s="4">
        <f>SUMPRODUCT(--((A215=$A$3:$A$2785)*$H$3:$H$2785&gt;H215))+1</f>
        <v>31</v>
      </c>
    </row>
    <row r="216" s="1" customFormat="true" customHeight="true" spans="1:10">
      <c r="A216" s="4" t="str">
        <f t="shared" si="28"/>
        <v>009</v>
      </c>
      <c r="B216" s="4" t="s">
        <v>20</v>
      </c>
      <c r="C216" s="4" t="str">
        <f>"余海燕"</f>
        <v>余海燕</v>
      </c>
      <c r="D216" s="4" t="str">
        <f>"2021010319"</f>
        <v>2021010319</v>
      </c>
      <c r="E216" s="4" t="str">
        <f t="shared" si="34"/>
        <v>03</v>
      </c>
      <c r="F216" s="4" t="str">
        <f>"19"</f>
        <v>19</v>
      </c>
      <c r="G216" s="4" t="s">
        <v>12</v>
      </c>
      <c r="H216" s="5">
        <v>58.5</v>
      </c>
      <c r="I216" s="4"/>
      <c r="J216" s="4">
        <f>SUMPRODUCT(--((A216=$A$3:$A$2785)*$H$3:$H$2785&gt;H216))+1</f>
        <v>32</v>
      </c>
    </row>
    <row r="217" s="1" customFormat="true" customHeight="true" spans="1:10">
      <c r="A217" s="4" t="str">
        <f t="shared" si="28"/>
        <v>009</v>
      </c>
      <c r="B217" s="4" t="s">
        <v>20</v>
      </c>
      <c r="C217" s="4" t="str">
        <f>"李勇仪"</f>
        <v>李勇仪</v>
      </c>
      <c r="D217" s="4" t="str">
        <f>"2021010311"</f>
        <v>2021010311</v>
      </c>
      <c r="E217" s="4" t="str">
        <f t="shared" si="34"/>
        <v>03</v>
      </c>
      <c r="F217" s="4" t="str">
        <f>"11"</f>
        <v>11</v>
      </c>
      <c r="G217" s="4" t="s">
        <v>12</v>
      </c>
      <c r="H217" s="5">
        <v>58.35</v>
      </c>
      <c r="I217" s="4"/>
      <c r="J217" s="4">
        <f>SUMPRODUCT(--((A217=$A$3:$A$2785)*$H$3:$H$2785&gt;H217))+1</f>
        <v>33</v>
      </c>
    </row>
    <row r="218" s="1" customFormat="true" customHeight="true" spans="1:10">
      <c r="A218" s="4" t="str">
        <f t="shared" si="28"/>
        <v>009</v>
      </c>
      <c r="B218" s="4" t="s">
        <v>20</v>
      </c>
      <c r="C218" s="4" t="str">
        <f>"李灵燕"</f>
        <v>李灵燕</v>
      </c>
      <c r="D218" s="4" t="str">
        <f>"2021010406"</f>
        <v>2021010406</v>
      </c>
      <c r="E218" s="4" t="str">
        <f t="shared" si="35"/>
        <v>04</v>
      </c>
      <c r="F218" s="4" t="str">
        <f>"06"</f>
        <v>06</v>
      </c>
      <c r="G218" s="4" t="s">
        <v>12</v>
      </c>
      <c r="H218" s="5">
        <v>58.1</v>
      </c>
      <c r="I218" s="4"/>
      <c r="J218" s="4">
        <f>SUMPRODUCT(--((A218=$A$3:$A$2785)*$H$3:$H$2785&gt;H218))+1</f>
        <v>34</v>
      </c>
    </row>
    <row r="219" s="1" customFormat="true" customHeight="true" spans="1:10">
      <c r="A219" s="4" t="str">
        <f t="shared" si="28"/>
        <v>009</v>
      </c>
      <c r="B219" s="4" t="s">
        <v>20</v>
      </c>
      <c r="C219" s="4" t="str">
        <f>"曾利霞"</f>
        <v>曾利霞</v>
      </c>
      <c r="D219" s="4" t="str">
        <f>"2021010405"</f>
        <v>2021010405</v>
      </c>
      <c r="E219" s="4" t="str">
        <f t="shared" si="35"/>
        <v>04</v>
      </c>
      <c r="F219" s="4" t="str">
        <f>"05"</f>
        <v>05</v>
      </c>
      <c r="G219" s="4" t="s">
        <v>12</v>
      </c>
      <c r="H219" s="5">
        <v>58.05</v>
      </c>
      <c r="I219" s="4"/>
      <c r="J219" s="4">
        <f>SUMPRODUCT(--((A219=$A$3:$A$2785)*$H$3:$H$2785&gt;H219))+1</f>
        <v>35</v>
      </c>
    </row>
    <row r="220" s="1" customFormat="true" customHeight="true" spans="1:10">
      <c r="A220" s="4" t="str">
        <f t="shared" si="28"/>
        <v>009</v>
      </c>
      <c r="B220" s="4" t="s">
        <v>20</v>
      </c>
      <c r="C220" s="4" t="str">
        <f>"梁愉"</f>
        <v>梁愉</v>
      </c>
      <c r="D220" s="4" t="str">
        <f>"2021010503"</f>
        <v>2021010503</v>
      </c>
      <c r="E220" s="4" t="str">
        <f>"05"</f>
        <v>05</v>
      </c>
      <c r="F220" s="4" t="str">
        <f>"03"</f>
        <v>03</v>
      </c>
      <c r="G220" s="4" t="s">
        <v>12</v>
      </c>
      <c r="H220" s="5">
        <v>57.6</v>
      </c>
      <c r="I220" s="4"/>
      <c r="J220" s="4">
        <f>SUMPRODUCT(--((A220=$A$3:$A$2785)*$H$3:$H$2785&gt;H220))+1</f>
        <v>36</v>
      </c>
    </row>
    <row r="221" s="1" customFormat="true" customHeight="true" spans="1:10">
      <c r="A221" s="4" t="str">
        <f t="shared" si="28"/>
        <v>009</v>
      </c>
      <c r="B221" s="4" t="s">
        <v>20</v>
      </c>
      <c r="C221" s="4" t="str">
        <f>"唐玉梅"</f>
        <v>唐玉梅</v>
      </c>
      <c r="D221" s="4" t="str">
        <f>"2021010413"</f>
        <v>2021010413</v>
      </c>
      <c r="E221" s="4" t="str">
        <f t="shared" ref="E221:E223" si="36">"04"</f>
        <v>04</v>
      </c>
      <c r="F221" s="4" t="str">
        <f>"13"</f>
        <v>13</v>
      </c>
      <c r="G221" s="4" t="s">
        <v>12</v>
      </c>
      <c r="H221" s="5">
        <v>57</v>
      </c>
      <c r="I221" s="4"/>
      <c r="J221" s="4">
        <f>SUMPRODUCT(--((A221=$A$3:$A$2785)*$H$3:$H$2785&gt;H221))+1</f>
        <v>37</v>
      </c>
    </row>
    <row r="222" s="1" customFormat="true" customHeight="true" spans="1:10">
      <c r="A222" s="4" t="str">
        <f t="shared" si="28"/>
        <v>009</v>
      </c>
      <c r="B222" s="4" t="s">
        <v>20</v>
      </c>
      <c r="C222" s="4" t="str">
        <f>"张金艳"</f>
        <v>张金艳</v>
      </c>
      <c r="D222" s="4" t="str">
        <f>"2021010410"</f>
        <v>2021010410</v>
      </c>
      <c r="E222" s="4" t="str">
        <f t="shared" si="36"/>
        <v>04</v>
      </c>
      <c r="F222" s="4" t="str">
        <f>"10"</f>
        <v>10</v>
      </c>
      <c r="G222" s="4" t="s">
        <v>12</v>
      </c>
      <c r="H222" s="5">
        <v>56.4</v>
      </c>
      <c r="I222" s="4"/>
      <c r="J222" s="4">
        <f>SUMPRODUCT(--((A222=$A$3:$A$2785)*$H$3:$H$2785&gt;H222))+1</f>
        <v>38</v>
      </c>
    </row>
    <row r="223" s="1" customFormat="true" customHeight="true" spans="1:10">
      <c r="A223" s="4" t="str">
        <f t="shared" si="28"/>
        <v>009</v>
      </c>
      <c r="B223" s="4" t="s">
        <v>20</v>
      </c>
      <c r="C223" s="4" t="str">
        <f>"申星雨"</f>
        <v>申星雨</v>
      </c>
      <c r="D223" s="4" t="str">
        <f>"2021010428"</f>
        <v>2021010428</v>
      </c>
      <c r="E223" s="4" t="str">
        <f t="shared" si="36"/>
        <v>04</v>
      </c>
      <c r="F223" s="4" t="str">
        <f>"28"</f>
        <v>28</v>
      </c>
      <c r="G223" s="4" t="s">
        <v>12</v>
      </c>
      <c r="H223" s="5">
        <v>56.15</v>
      </c>
      <c r="I223" s="4"/>
      <c r="J223" s="4">
        <f>SUMPRODUCT(--((A223=$A$3:$A$2785)*$H$3:$H$2785&gt;H223))+1</f>
        <v>39</v>
      </c>
    </row>
    <row r="224" s="1" customFormat="true" customHeight="true" spans="1:10">
      <c r="A224" s="4" t="str">
        <f t="shared" si="28"/>
        <v>009</v>
      </c>
      <c r="B224" s="4" t="s">
        <v>20</v>
      </c>
      <c r="C224" s="4" t="str">
        <f>"石水英"</f>
        <v>石水英</v>
      </c>
      <c r="D224" s="4" t="str">
        <f>"2021010312"</f>
        <v>2021010312</v>
      </c>
      <c r="E224" s="4" t="str">
        <f>"03"</f>
        <v>03</v>
      </c>
      <c r="F224" s="4" t="str">
        <f>"12"</f>
        <v>12</v>
      </c>
      <c r="G224" s="4" t="s">
        <v>12</v>
      </c>
      <c r="H224" s="5">
        <v>55.9</v>
      </c>
      <c r="I224" s="4"/>
      <c r="J224" s="4">
        <f>SUMPRODUCT(--((A224=$A$3:$A$2785)*$H$3:$H$2785&gt;H224))+1</f>
        <v>40</v>
      </c>
    </row>
    <row r="225" s="1" customFormat="true" customHeight="true" spans="1:10">
      <c r="A225" s="4" t="str">
        <f t="shared" si="28"/>
        <v>009</v>
      </c>
      <c r="B225" s="4" t="s">
        <v>20</v>
      </c>
      <c r="C225" s="4" t="str">
        <f>"向蓉"</f>
        <v>向蓉</v>
      </c>
      <c r="D225" s="4" t="str">
        <f>"2021010324"</f>
        <v>2021010324</v>
      </c>
      <c r="E225" s="4" t="str">
        <f>"03"</f>
        <v>03</v>
      </c>
      <c r="F225" s="4" t="str">
        <f>"24"</f>
        <v>24</v>
      </c>
      <c r="G225" s="4" t="s">
        <v>12</v>
      </c>
      <c r="H225" s="5">
        <v>55.6</v>
      </c>
      <c r="I225" s="4"/>
      <c r="J225" s="4">
        <f>SUMPRODUCT(--((A225=$A$3:$A$2785)*$H$3:$H$2785&gt;H225))+1</f>
        <v>41</v>
      </c>
    </row>
    <row r="226" s="1" customFormat="true" customHeight="true" spans="1:10">
      <c r="A226" s="4" t="str">
        <f t="shared" si="28"/>
        <v>009</v>
      </c>
      <c r="B226" s="4" t="s">
        <v>20</v>
      </c>
      <c r="C226" s="4" t="str">
        <f>"陈丽华"</f>
        <v>陈丽华</v>
      </c>
      <c r="D226" s="4" t="str">
        <f>"2021010426"</f>
        <v>2021010426</v>
      </c>
      <c r="E226" s="4" t="str">
        <f>"04"</f>
        <v>04</v>
      </c>
      <c r="F226" s="4" t="str">
        <f>"26"</f>
        <v>26</v>
      </c>
      <c r="G226" s="4" t="s">
        <v>12</v>
      </c>
      <c r="H226" s="5">
        <v>54.5</v>
      </c>
      <c r="I226" s="4"/>
      <c r="J226" s="4">
        <f>SUMPRODUCT(--((A226=$A$3:$A$2785)*$H$3:$H$2785&gt;H226))+1</f>
        <v>42</v>
      </c>
    </row>
    <row r="227" s="1" customFormat="true" customHeight="true" spans="1:10">
      <c r="A227" s="4" t="str">
        <f t="shared" si="28"/>
        <v>009</v>
      </c>
      <c r="B227" s="4" t="s">
        <v>20</v>
      </c>
      <c r="C227" s="4" t="str">
        <f>"张玉琳"</f>
        <v>张玉琳</v>
      </c>
      <c r="D227" s="4" t="str">
        <f>"2021010214"</f>
        <v>2021010214</v>
      </c>
      <c r="E227" s="4" t="str">
        <f t="shared" ref="E227:E241" si="37">"02"</f>
        <v>02</v>
      </c>
      <c r="F227" s="4" t="str">
        <f>"14"</f>
        <v>14</v>
      </c>
      <c r="G227" s="4" t="s">
        <v>12</v>
      </c>
      <c r="H227" s="5">
        <v>54.25</v>
      </c>
      <c r="I227" s="4"/>
      <c r="J227" s="4">
        <f>SUMPRODUCT(--((A227=$A$3:$A$2785)*$H$3:$H$2785&gt;H227))+1</f>
        <v>43</v>
      </c>
    </row>
    <row r="228" s="1" customFormat="true" customHeight="true" spans="1:10">
      <c r="A228" s="4" t="str">
        <f t="shared" si="28"/>
        <v>009</v>
      </c>
      <c r="B228" s="4" t="s">
        <v>20</v>
      </c>
      <c r="C228" s="4" t="str">
        <f>"贺茂园"</f>
        <v>贺茂园</v>
      </c>
      <c r="D228" s="4" t="str">
        <f>"2021010209"</f>
        <v>2021010209</v>
      </c>
      <c r="E228" s="4" t="str">
        <f t="shared" si="37"/>
        <v>02</v>
      </c>
      <c r="F228" s="4" t="str">
        <f>"09"</f>
        <v>09</v>
      </c>
      <c r="G228" s="4" t="s">
        <v>12</v>
      </c>
      <c r="H228" s="5">
        <v>0</v>
      </c>
      <c r="I228" s="6" t="s">
        <v>13</v>
      </c>
      <c r="J228" s="4">
        <f>SUMPRODUCT(--((A228=$A$3:$A$2785)*$H$3:$H$2785&gt;H228))+1</f>
        <v>44</v>
      </c>
    </row>
    <row r="229" s="1" customFormat="true" customHeight="true" spans="1:10">
      <c r="A229" s="4" t="str">
        <f t="shared" si="28"/>
        <v>009</v>
      </c>
      <c r="B229" s="4" t="s">
        <v>20</v>
      </c>
      <c r="C229" s="4" t="str">
        <f>"滕瑜"</f>
        <v>滕瑜</v>
      </c>
      <c r="D229" s="4" t="str">
        <f>"2021010210"</f>
        <v>2021010210</v>
      </c>
      <c r="E229" s="4" t="str">
        <f t="shared" si="37"/>
        <v>02</v>
      </c>
      <c r="F229" s="4" t="str">
        <f>"10"</f>
        <v>10</v>
      </c>
      <c r="G229" s="4" t="s">
        <v>12</v>
      </c>
      <c r="H229" s="5">
        <v>0</v>
      </c>
      <c r="I229" s="6" t="s">
        <v>13</v>
      </c>
      <c r="J229" s="4">
        <f>SUMPRODUCT(--((A229=$A$3:$A$2785)*$H$3:$H$2785&gt;H229))+1</f>
        <v>44</v>
      </c>
    </row>
    <row r="230" s="1" customFormat="true" customHeight="true" spans="1:10">
      <c r="A230" s="4" t="str">
        <f t="shared" si="28"/>
        <v>009</v>
      </c>
      <c r="B230" s="4" t="s">
        <v>20</v>
      </c>
      <c r="C230" s="4" t="str">
        <f>"李海燕"</f>
        <v>李海燕</v>
      </c>
      <c r="D230" s="4" t="str">
        <f>"2021010212"</f>
        <v>2021010212</v>
      </c>
      <c r="E230" s="4" t="str">
        <f t="shared" si="37"/>
        <v>02</v>
      </c>
      <c r="F230" s="4" t="str">
        <f>"12"</f>
        <v>12</v>
      </c>
      <c r="G230" s="4" t="s">
        <v>12</v>
      </c>
      <c r="H230" s="5">
        <v>0</v>
      </c>
      <c r="I230" s="6" t="s">
        <v>13</v>
      </c>
      <c r="J230" s="4">
        <f>SUMPRODUCT(--((A230=$A$3:$A$2785)*$H$3:$H$2785&gt;H230))+1</f>
        <v>44</v>
      </c>
    </row>
    <row r="231" s="1" customFormat="true" customHeight="true" spans="1:10">
      <c r="A231" s="4" t="str">
        <f t="shared" si="28"/>
        <v>009</v>
      </c>
      <c r="B231" s="4" t="s">
        <v>20</v>
      </c>
      <c r="C231" s="4" t="str">
        <f>"欧阳圣船"</f>
        <v>欧阳圣船</v>
      </c>
      <c r="D231" s="4" t="str">
        <f>"2021010213"</f>
        <v>2021010213</v>
      </c>
      <c r="E231" s="4" t="str">
        <f t="shared" si="37"/>
        <v>02</v>
      </c>
      <c r="F231" s="4" t="str">
        <f>"13"</f>
        <v>13</v>
      </c>
      <c r="G231" s="4" t="s">
        <v>12</v>
      </c>
      <c r="H231" s="5">
        <v>0</v>
      </c>
      <c r="I231" s="6" t="s">
        <v>13</v>
      </c>
      <c r="J231" s="4">
        <f>SUMPRODUCT(--((A231=$A$3:$A$2785)*$H$3:$H$2785&gt;H231))+1</f>
        <v>44</v>
      </c>
    </row>
    <row r="232" s="1" customFormat="true" customHeight="true" spans="1:10">
      <c r="A232" s="4" t="str">
        <f t="shared" si="28"/>
        <v>009</v>
      </c>
      <c r="B232" s="4" t="s">
        <v>20</v>
      </c>
      <c r="C232" s="4" t="str">
        <f>"吉玉洁"</f>
        <v>吉玉洁</v>
      </c>
      <c r="D232" s="4" t="str">
        <f>"2021010215"</f>
        <v>2021010215</v>
      </c>
      <c r="E232" s="4" t="str">
        <f t="shared" si="37"/>
        <v>02</v>
      </c>
      <c r="F232" s="4" t="str">
        <f>"15"</f>
        <v>15</v>
      </c>
      <c r="G232" s="4" t="s">
        <v>12</v>
      </c>
      <c r="H232" s="5">
        <v>0</v>
      </c>
      <c r="I232" s="6" t="s">
        <v>13</v>
      </c>
      <c r="J232" s="4">
        <f>SUMPRODUCT(--((A232=$A$3:$A$2785)*$H$3:$H$2785&gt;H232))+1</f>
        <v>44</v>
      </c>
    </row>
    <row r="233" s="1" customFormat="true" customHeight="true" spans="1:10">
      <c r="A233" s="4" t="str">
        <f t="shared" si="28"/>
        <v>009</v>
      </c>
      <c r="B233" s="4" t="s">
        <v>20</v>
      </c>
      <c r="C233" s="4" t="str">
        <f>"贾丽琼"</f>
        <v>贾丽琼</v>
      </c>
      <c r="D233" s="4" t="str">
        <f>"2021010217"</f>
        <v>2021010217</v>
      </c>
      <c r="E233" s="4" t="str">
        <f t="shared" si="37"/>
        <v>02</v>
      </c>
      <c r="F233" s="4" t="str">
        <f>"17"</f>
        <v>17</v>
      </c>
      <c r="G233" s="4" t="s">
        <v>12</v>
      </c>
      <c r="H233" s="5">
        <v>0</v>
      </c>
      <c r="I233" s="6" t="s">
        <v>13</v>
      </c>
      <c r="J233" s="4">
        <f>SUMPRODUCT(--((A233=$A$3:$A$2785)*$H$3:$H$2785&gt;H233))+1</f>
        <v>44</v>
      </c>
    </row>
    <row r="234" s="1" customFormat="true" customHeight="true" spans="1:10">
      <c r="A234" s="4" t="str">
        <f t="shared" si="28"/>
        <v>009</v>
      </c>
      <c r="B234" s="4" t="s">
        <v>20</v>
      </c>
      <c r="C234" s="4" t="str">
        <f>"张金枝"</f>
        <v>张金枝</v>
      </c>
      <c r="D234" s="4" t="str">
        <f>"2021010220"</f>
        <v>2021010220</v>
      </c>
      <c r="E234" s="4" t="str">
        <f t="shared" si="37"/>
        <v>02</v>
      </c>
      <c r="F234" s="4" t="str">
        <f>"20"</f>
        <v>20</v>
      </c>
      <c r="G234" s="4" t="s">
        <v>12</v>
      </c>
      <c r="H234" s="5">
        <v>0</v>
      </c>
      <c r="I234" s="6" t="s">
        <v>13</v>
      </c>
      <c r="J234" s="4">
        <f>SUMPRODUCT(--((A234=$A$3:$A$2785)*$H$3:$H$2785&gt;H234))+1</f>
        <v>44</v>
      </c>
    </row>
    <row r="235" s="1" customFormat="true" customHeight="true" spans="1:10">
      <c r="A235" s="4" t="str">
        <f t="shared" si="28"/>
        <v>009</v>
      </c>
      <c r="B235" s="4" t="s">
        <v>20</v>
      </c>
      <c r="C235" s="4" t="str">
        <f>"谢娟"</f>
        <v>谢娟</v>
      </c>
      <c r="D235" s="4" t="str">
        <f>"2021010221"</f>
        <v>2021010221</v>
      </c>
      <c r="E235" s="4" t="str">
        <f t="shared" si="37"/>
        <v>02</v>
      </c>
      <c r="F235" s="4" t="str">
        <f>"21"</f>
        <v>21</v>
      </c>
      <c r="G235" s="4" t="s">
        <v>12</v>
      </c>
      <c r="H235" s="5">
        <v>0</v>
      </c>
      <c r="I235" s="6" t="s">
        <v>13</v>
      </c>
      <c r="J235" s="4">
        <f>SUMPRODUCT(--((A235=$A$3:$A$2785)*$H$3:$H$2785&gt;H235))+1</f>
        <v>44</v>
      </c>
    </row>
    <row r="236" s="1" customFormat="true" customHeight="true" spans="1:10">
      <c r="A236" s="4" t="str">
        <f t="shared" si="28"/>
        <v>009</v>
      </c>
      <c r="B236" s="4" t="s">
        <v>20</v>
      </c>
      <c r="C236" s="4" t="str">
        <f>"滕盼"</f>
        <v>滕盼</v>
      </c>
      <c r="D236" s="4" t="str">
        <f>"2021010222"</f>
        <v>2021010222</v>
      </c>
      <c r="E236" s="4" t="str">
        <f t="shared" si="37"/>
        <v>02</v>
      </c>
      <c r="F236" s="4" t="str">
        <f>"22"</f>
        <v>22</v>
      </c>
      <c r="G236" s="4" t="s">
        <v>12</v>
      </c>
      <c r="H236" s="5">
        <v>0</v>
      </c>
      <c r="I236" s="6" t="s">
        <v>13</v>
      </c>
      <c r="J236" s="4">
        <f>SUMPRODUCT(--((A236=$A$3:$A$2785)*$H$3:$H$2785&gt;H236))+1</f>
        <v>44</v>
      </c>
    </row>
    <row r="237" s="1" customFormat="true" customHeight="true" spans="1:10">
      <c r="A237" s="4" t="str">
        <f t="shared" si="28"/>
        <v>009</v>
      </c>
      <c r="B237" s="4" t="s">
        <v>20</v>
      </c>
      <c r="C237" s="4" t="str">
        <f>"单梦琰"</f>
        <v>单梦琰</v>
      </c>
      <c r="D237" s="4" t="str">
        <f>"2021010223"</f>
        <v>2021010223</v>
      </c>
      <c r="E237" s="4" t="str">
        <f t="shared" si="37"/>
        <v>02</v>
      </c>
      <c r="F237" s="4" t="str">
        <f>"23"</f>
        <v>23</v>
      </c>
      <c r="G237" s="4" t="s">
        <v>12</v>
      </c>
      <c r="H237" s="5">
        <v>0</v>
      </c>
      <c r="I237" s="6" t="s">
        <v>13</v>
      </c>
      <c r="J237" s="4">
        <f>SUMPRODUCT(--((A237=$A$3:$A$2785)*$H$3:$H$2785&gt;H237))+1</f>
        <v>44</v>
      </c>
    </row>
    <row r="238" s="1" customFormat="true" customHeight="true" spans="1:10">
      <c r="A238" s="4" t="str">
        <f t="shared" si="28"/>
        <v>009</v>
      </c>
      <c r="B238" s="4" t="s">
        <v>20</v>
      </c>
      <c r="C238" s="4" t="str">
        <f>"张生生"</f>
        <v>张生生</v>
      </c>
      <c r="D238" s="4" t="str">
        <f>"2021010224"</f>
        <v>2021010224</v>
      </c>
      <c r="E238" s="4" t="str">
        <f t="shared" si="37"/>
        <v>02</v>
      </c>
      <c r="F238" s="4" t="str">
        <f>"24"</f>
        <v>24</v>
      </c>
      <c r="G238" s="4" t="s">
        <v>12</v>
      </c>
      <c r="H238" s="5">
        <v>0</v>
      </c>
      <c r="I238" s="6" t="s">
        <v>13</v>
      </c>
      <c r="J238" s="4">
        <f>SUMPRODUCT(--((A238=$A$3:$A$2785)*$H$3:$H$2785&gt;H238))+1</f>
        <v>44</v>
      </c>
    </row>
    <row r="239" s="1" customFormat="true" customHeight="true" spans="1:10">
      <c r="A239" s="4" t="str">
        <f t="shared" si="28"/>
        <v>009</v>
      </c>
      <c r="B239" s="4" t="s">
        <v>20</v>
      </c>
      <c r="C239" s="4" t="str">
        <f>"陆云"</f>
        <v>陆云</v>
      </c>
      <c r="D239" s="4" t="str">
        <f>"2021010225"</f>
        <v>2021010225</v>
      </c>
      <c r="E239" s="4" t="str">
        <f t="shared" si="37"/>
        <v>02</v>
      </c>
      <c r="F239" s="4" t="str">
        <f>"25"</f>
        <v>25</v>
      </c>
      <c r="G239" s="4" t="s">
        <v>12</v>
      </c>
      <c r="H239" s="5">
        <v>0</v>
      </c>
      <c r="I239" s="6" t="s">
        <v>13</v>
      </c>
      <c r="J239" s="4">
        <f>SUMPRODUCT(--((A239=$A$3:$A$2785)*$H$3:$H$2785&gt;H239))+1</f>
        <v>44</v>
      </c>
    </row>
    <row r="240" s="1" customFormat="true" customHeight="true" spans="1:10">
      <c r="A240" s="4" t="str">
        <f t="shared" si="28"/>
        <v>009</v>
      </c>
      <c r="B240" s="4" t="s">
        <v>20</v>
      </c>
      <c r="C240" s="4" t="str">
        <f>"龙丽梅"</f>
        <v>龙丽梅</v>
      </c>
      <c r="D240" s="4" t="str">
        <f>"2021010228"</f>
        <v>2021010228</v>
      </c>
      <c r="E240" s="4" t="str">
        <f t="shared" si="37"/>
        <v>02</v>
      </c>
      <c r="F240" s="4" t="str">
        <f>"28"</f>
        <v>28</v>
      </c>
      <c r="G240" s="4" t="s">
        <v>12</v>
      </c>
      <c r="H240" s="5">
        <v>0</v>
      </c>
      <c r="I240" s="6" t="s">
        <v>13</v>
      </c>
      <c r="J240" s="4">
        <f>SUMPRODUCT(--((A240=$A$3:$A$2785)*$H$3:$H$2785&gt;H240))+1</f>
        <v>44</v>
      </c>
    </row>
    <row r="241" s="1" customFormat="true" customHeight="true" spans="1:10">
      <c r="A241" s="4" t="str">
        <f t="shared" si="28"/>
        <v>009</v>
      </c>
      <c r="B241" s="4" t="s">
        <v>20</v>
      </c>
      <c r="C241" s="4" t="str">
        <f>"杨志娟"</f>
        <v>杨志娟</v>
      </c>
      <c r="D241" s="4" t="str">
        <f>"2021010230"</f>
        <v>2021010230</v>
      </c>
      <c r="E241" s="4" t="str">
        <f t="shared" si="37"/>
        <v>02</v>
      </c>
      <c r="F241" s="4" t="str">
        <f>"30"</f>
        <v>30</v>
      </c>
      <c r="G241" s="4" t="s">
        <v>12</v>
      </c>
      <c r="H241" s="5">
        <v>0</v>
      </c>
      <c r="I241" s="6" t="s">
        <v>13</v>
      </c>
      <c r="J241" s="4">
        <f>SUMPRODUCT(--((A241=$A$3:$A$2785)*$H$3:$H$2785&gt;H241))+1</f>
        <v>44</v>
      </c>
    </row>
    <row r="242" s="1" customFormat="true" customHeight="true" spans="1:10">
      <c r="A242" s="4" t="str">
        <f t="shared" si="28"/>
        <v>009</v>
      </c>
      <c r="B242" s="4" t="s">
        <v>20</v>
      </c>
      <c r="C242" s="4" t="str">
        <f>"张彬彬"</f>
        <v>张彬彬</v>
      </c>
      <c r="D242" s="4" t="str">
        <f>"2021010302"</f>
        <v>2021010302</v>
      </c>
      <c r="E242" s="4" t="str">
        <f t="shared" ref="E242:E260" si="38">"03"</f>
        <v>03</v>
      </c>
      <c r="F242" s="4" t="str">
        <f>"02"</f>
        <v>02</v>
      </c>
      <c r="G242" s="4" t="s">
        <v>12</v>
      </c>
      <c r="H242" s="5">
        <v>0</v>
      </c>
      <c r="I242" s="6" t="s">
        <v>13</v>
      </c>
      <c r="J242" s="4">
        <f>SUMPRODUCT(--((A242=$A$3:$A$2785)*$H$3:$H$2785&gt;H242))+1</f>
        <v>44</v>
      </c>
    </row>
    <row r="243" s="1" customFormat="true" customHeight="true" spans="1:10">
      <c r="A243" s="4" t="str">
        <f t="shared" si="28"/>
        <v>009</v>
      </c>
      <c r="B243" s="4" t="s">
        <v>20</v>
      </c>
      <c r="C243" s="4" t="str">
        <f>"李海云"</f>
        <v>李海云</v>
      </c>
      <c r="D243" s="4" t="str">
        <f>"2021010304"</f>
        <v>2021010304</v>
      </c>
      <c r="E243" s="4" t="str">
        <f t="shared" si="38"/>
        <v>03</v>
      </c>
      <c r="F243" s="4" t="str">
        <f>"04"</f>
        <v>04</v>
      </c>
      <c r="G243" s="4" t="s">
        <v>12</v>
      </c>
      <c r="H243" s="5">
        <v>0</v>
      </c>
      <c r="I243" s="6" t="s">
        <v>13</v>
      </c>
      <c r="J243" s="4">
        <f>SUMPRODUCT(--((A243=$A$3:$A$2785)*$H$3:$H$2785&gt;H243))+1</f>
        <v>44</v>
      </c>
    </row>
    <row r="244" s="1" customFormat="true" customHeight="true" spans="1:10">
      <c r="A244" s="4" t="str">
        <f t="shared" si="28"/>
        <v>009</v>
      </c>
      <c r="B244" s="4" t="s">
        <v>20</v>
      </c>
      <c r="C244" s="4" t="str">
        <f>"宋梦瑶"</f>
        <v>宋梦瑶</v>
      </c>
      <c r="D244" s="4" t="str">
        <f>"2021010305"</f>
        <v>2021010305</v>
      </c>
      <c r="E244" s="4" t="str">
        <f t="shared" si="38"/>
        <v>03</v>
      </c>
      <c r="F244" s="4" t="str">
        <f>"05"</f>
        <v>05</v>
      </c>
      <c r="G244" s="4" t="s">
        <v>12</v>
      </c>
      <c r="H244" s="5">
        <v>0</v>
      </c>
      <c r="I244" s="6" t="s">
        <v>13</v>
      </c>
      <c r="J244" s="4">
        <f>SUMPRODUCT(--((A244=$A$3:$A$2785)*$H$3:$H$2785&gt;H244))+1</f>
        <v>44</v>
      </c>
    </row>
    <row r="245" s="1" customFormat="true" customHeight="true" spans="1:10">
      <c r="A245" s="4" t="str">
        <f t="shared" si="28"/>
        <v>009</v>
      </c>
      <c r="B245" s="4" t="s">
        <v>20</v>
      </c>
      <c r="C245" s="4" t="str">
        <f>"龚若寒"</f>
        <v>龚若寒</v>
      </c>
      <c r="D245" s="4" t="str">
        <f>"2021010308"</f>
        <v>2021010308</v>
      </c>
      <c r="E245" s="4" t="str">
        <f t="shared" si="38"/>
        <v>03</v>
      </c>
      <c r="F245" s="4" t="str">
        <f>"08"</f>
        <v>08</v>
      </c>
      <c r="G245" s="4" t="s">
        <v>12</v>
      </c>
      <c r="H245" s="5">
        <v>0</v>
      </c>
      <c r="I245" s="6" t="s">
        <v>13</v>
      </c>
      <c r="J245" s="4">
        <f>SUMPRODUCT(--((A245=$A$3:$A$2785)*$H$3:$H$2785&gt;H245))+1</f>
        <v>44</v>
      </c>
    </row>
    <row r="246" s="1" customFormat="true" customHeight="true" spans="1:10">
      <c r="A246" s="4" t="str">
        <f t="shared" si="28"/>
        <v>009</v>
      </c>
      <c r="B246" s="4" t="s">
        <v>20</v>
      </c>
      <c r="C246" s="4" t="str">
        <f>"李永情"</f>
        <v>李永情</v>
      </c>
      <c r="D246" s="4" t="str">
        <f>"2021010309"</f>
        <v>2021010309</v>
      </c>
      <c r="E246" s="4" t="str">
        <f t="shared" si="38"/>
        <v>03</v>
      </c>
      <c r="F246" s="4" t="str">
        <f>"09"</f>
        <v>09</v>
      </c>
      <c r="G246" s="4" t="s">
        <v>12</v>
      </c>
      <c r="H246" s="5">
        <v>0</v>
      </c>
      <c r="I246" s="6" t="s">
        <v>13</v>
      </c>
      <c r="J246" s="4">
        <f>SUMPRODUCT(--((A246=$A$3:$A$2785)*$H$3:$H$2785&gt;H246))+1</f>
        <v>44</v>
      </c>
    </row>
    <row r="247" s="1" customFormat="true" customHeight="true" spans="1:10">
      <c r="A247" s="4" t="str">
        <f t="shared" si="28"/>
        <v>009</v>
      </c>
      <c r="B247" s="4" t="s">
        <v>20</v>
      </c>
      <c r="C247" s="4" t="str">
        <f>"朱嘉媚"</f>
        <v>朱嘉媚</v>
      </c>
      <c r="D247" s="4" t="str">
        <f>"2021010314"</f>
        <v>2021010314</v>
      </c>
      <c r="E247" s="4" t="str">
        <f t="shared" si="38"/>
        <v>03</v>
      </c>
      <c r="F247" s="4" t="str">
        <f>"14"</f>
        <v>14</v>
      </c>
      <c r="G247" s="4" t="s">
        <v>12</v>
      </c>
      <c r="H247" s="5">
        <v>0</v>
      </c>
      <c r="I247" s="6" t="s">
        <v>13</v>
      </c>
      <c r="J247" s="4">
        <f>SUMPRODUCT(--((A247=$A$3:$A$2785)*$H$3:$H$2785&gt;H247))+1</f>
        <v>44</v>
      </c>
    </row>
    <row r="248" s="1" customFormat="true" customHeight="true" spans="1:10">
      <c r="A248" s="4" t="str">
        <f t="shared" si="28"/>
        <v>009</v>
      </c>
      <c r="B248" s="4" t="s">
        <v>20</v>
      </c>
      <c r="C248" s="4" t="str">
        <f>"舒一蓉"</f>
        <v>舒一蓉</v>
      </c>
      <c r="D248" s="4" t="str">
        <f>"2021010315"</f>
        <v>2021010315</v>
      </c>
      <c r="E248" s="4" t="str">
        <f t="shared" si="38"/>
        <v>03</v>
      </c>
      <c r="F248" s="4" t="str">
        <f>"15"</f>
        <v>15</v>
      </c>
      <c r="G248" s="4" t="s">
        <v>12</v>
      </c>
      <c r="H248" s="5">
        <v>0</v>
      </c>
      <c r="I248" s="6" t="s">
        <v>13</v>
      </c>
      <c r="J248" s="4">
        <f>SUMPRODUCT(--((A248=$A$3:$A$2785)*$H$3:$H$2785&gt;H248))+1</f>
        <v>44</v>
      </c>
    </row>
    <row r="249" s="1" customFormat="true" customHeight="true" spans="1:10">
      <c r="A249" s="4" t="str">
        <f t="shared" ref="A249:A276" si="39">"009"</f>
        <v>009</v>
      </c>
      <c r="B249" s="4" t="s">
        <v>20</v>
      </c>
      <c r="C249" s="4" t="str">
        <f>"谭晓倩"</f>
        <v>谭晓倩</v>
      </c>
      <c r="D249" s="4" t="str">
        <f>"2021010316"</f>
        <v>2021010316</v>
      </c>
      <c r="E249" s="4" t="str">
        <f t="shared" si="38"/>
        <v>03</v>
      </c>
      <c r="F249" s="4" t="str">
        <f>"16"</f>
        <v>16</v>
      </c>
      <c r="G249" s="4" t="s">
        <v>12</v>
      </c>
      <c r="H249" s="5">
        <v>0</v>
      </c>
      <c r="I249" s="6" t="s">
        <v>13</v>
      </c>
      <c r="J249" s="4">
        <f>SUMPRODUCT(--((A249=$A$3:$A$2785)*$H$3:$H$2785&gt;H249))+1</f>
        <v>44</v>
      </c>
    </row>
    <row r="250" s="1" customFormat="true" customHeight="true" spans="1:10">
      <c r="A250" s="4" t="str">
        <f t="shared" si="39"/>
        <v>009</v>
      </c>
      <c r="B250" s="4" t="s">
        <v>20</v>
      </c>
      <c r="C250" s="4" t="str">
        <f>"米雅潘"</f>
        <v>米雅潘</v>
      </c>
      <c r="D250" s="4" t="str">
        <f>"2021010317"</f>
        <v>2021010317</v>
      </c>
      <c r="E250" s="4" t="str">
        <f t="shared" si="38"/>
        <v>03</v>
      </c>
      <c r="F250" s="4" t="str">
        <f>"17"</f>
        <v>17</v>
      </c>
      <c r="G250" s="4" t="s">
        <v>12</v>
      </c>
      <c r="H250" s="5">
        <v>0</v>
      </c>
      <c r="I250" s="6" t="s">
        <v>13</v>
      </c>
      <c r="J250" s="4">
        <f>SUMPRODUCT(--((A250=$A$3:$A$2785)*$H$3:$H$2785&gt;H250))+1</f>
        <v>44</v>
      </c>
    </row>
    <row r="251" s="1" customFormat="true" customHeight="true" spans="1:10">
      <c r="A251" s="4" t="str">
        <f t="shared" si="39"/>
        <v>009</v>
      </c>
      <c r="B251" s="4" t="s">
        <v>20</v>
      </c>
      <c r="C251" s="4" t="str">
        <f>"罗娜"</f>
        <v>罗娜</v>
      </c>
      <c r="D251" s="4" t="str">
        <f>"2021010318"</f>
        <v>2021010318</v>
      </c>
      <c r="E251" s="4" t="str">
        <f t="shared" si="38"/>
        <v>03</v>
      </c>
      <c r="F251" s="4" t="str">
        <f>"18"</f>
        <v>18</v>
      </c>
      <c r="G251" s="4" t="s">
        <v>12</v>
      </c>
      <c r="H251" s="5">
        <v>0</v>
      </c>
      <c r="I251" s="6" t="s">
        <v>13</v>
      </c>
      <c r="J251" s="4">
        <f>SUMPRODUCT(--((A251=$A$3:$A$2785)*$H$3:$H$2785&gt;H251))+1</f>
        <v>44</v>
      </c>
    </row>
    <row r="252" s="1" customFormat="true" customHeight="true" spans="1:10">
      <c r="A252" s="4" t="str">
        <f t="shared" si="39"/>
        <v>009</v>
      </c>
      <c r="B252" s="4" t="s">
        <v>20</v>
      </c>
      <c r="C252" s="4" t="str">
        <f>"彭悦平"</f>
        <v>彭悦平</v>
      </c>
      <c r="D252" s="4" t="str">
        <f>"2021010320"</f>
        <v>2021010320</v>
      </c>
      <c r="E252" s="4" t="str">
        <f t="shared" si="38"/>
        <v>03</v>
      </c>
      <c r="F252" s="4" t="str">
        <f>"20"</f>
        <v>20</v>
      </c>
      <c r="G252" s="4" t="s">
        <v>12</v>
      </c>
      <c r="H252" s="5">
        <v>0</v>
      </c>
      <c r="I252" s="6" t="s">
        <v>13</v>
      </c>
      <c r="J252" s="4">
        <f>SUMPRODUCT(--((A252=$A$3:$A$2785)*$H$3:$H$2785&gt;H252))+1</f>
        <v>44</v>
      </c>
    </row>
    <row r="253" s="1" customFormat="true" customHeight="true" spans="1:10">
      <c r="A253" s="4" t="str">
        <f t="shared" si="39"/>
        <v>009</v>
      </c>
      <c r="B253" s="4" t="s">
        <v>20</v>
      </c>
      <c r="C253" s="4" t="str">
        <f>"杨晨华"</f>
        <v>杨晨华</v>
      </c>
      <c r="D253" s="4" t="str">
        <f>"2021010322"</f>
        <v>2021010322</v>
      </c>
      <c r="E253" s="4" t="str">
        <f t="shared" si="38"/>
        <v>03</v>
      </c>
      <c r="F253" s="4" t="str">
        <f>"22"</f>
        <v>22</v>
      </c>
      <c r="G253" s="4" t="s">
        <v>12</v>
      </c>
      <c r="H253" s="5">
        <v>0</v>
      </c>
      <c r="I253" s="6" t="s">
        <v>13</v>
      </c>
      <c r="J253" s="4">
        <f>SUMPRODUCT(--((A253=$A$3:$A$2785)*$H$3:$H$2785&gt;H253))+1</f>
        <v>44</v>
      </c>
    </row>
    <row r="254" s="1" customFormat="true" customHeight="true" spans="1:10">
      <c r="A254" s="4" t="str">
        <f t="shared" si="39"/>
        <v>009</v>
      </c>
      <c r="B254" s="4" t="s">
        <v>20</v>
      </c>
      <c r="C254" s="4" t="str">
        <f>"翟莉平"</f>
        <v>翟莉平</v>
      </c>
      <c r="D254" s="4" t="str">
        <f>"2021010323"</f>
        <v>2021010323</v>
      </c>
      <c r="E254" s="4" t="str">
        <f t="shared" si="38"/>
        <v>03</v>
      </c>
      <c r="F254" s="4" t="str">
        <f>"23"</f>
        <v>23</v>
      </c>
      <c r="G254" s="4" t="s">
        <v>12</v>
      </c>
      <c r="H254" s="5">
        <v>0</v>
      </c>
      <c r="I254" s="6" t="s">
        <v>13</v>
      </c>
      <c r="J254" s="4">
        <f>SUMPRODUCT(--((A254=$A$3:$A$2785)*$H$3:$H$2785&gt;H254))+1</f>
        <v>44</v>
      </c>
    </row>
    <row r="255" s="1" customFormat="true" customHeight="true" spans="1:10">
      <c r="A255" s="4" t="str">
        <f t="shared" si="39"/>
        <v>009</v>
      </c>
      <c r="B255" s="4" t="s">
        <v>20</v>
      </c>
      <c r="C255" s="4" t="str">
        <f>"唐文怡"</f>
        <v>唐文怡</v>
      </c>
      <c r="D255" s="4" t="str">
        <f>"2021010325"</f>
        <v>2021010325</v>
      </c>
      <c r="E255" s="4" t="str">
        <f t="shared" si="38"/>
        <v>03</v>
      </c>
      <c r="F255" s="4" t="str">
        <f>"25"</f>
        <v>25</v>
      </c>
      <c r="G255" s="4" t="s">
        <v>12</v>
      </c>
      <c r="H255" s="5">
        <v>0</v>
      </c>
      <c r="I255" s="6" t="s">
        <v>13</v>
      </c>
      <c r="J255" s="4">
        <f>SUMPRODUCT(--((A255=$A$3:$A$2785)*$H$3:$H$2785&gt;H255))+1</f>
        <v>44</v>
      </c>
    </row>
    <row r="256" s="1" customFormat="true" customHeight="true" spans="1:10">
      <c r="A256" s="4" t="str">
        <f t="shared" si="39"/>
        <v>009</v>
      </c>
      <c r="B256" s="4" t="s">
        <v>20</v>
      </c>
      <c r="C256" s="4" t="str">
        <f>"胡丽"</f>
        <v>胡丽</v>
      </c>
      <c r="D256" s="4" t="str">
        <f>"2021010326"</f>
        <v>2021010326</v>
      </c>
      <c r="E256" s="4" t="str">
        <f t="shared" si="38"/>
        <v>03</v>
      </c>
      <c r="F256" s="4" t="str">
        <f>"26"</f>
        <v>26</v>
      </c>
      <c r="G256" s="4" t="s">
        <v>12</v>
      </c>
      <c r="H256" s="5">
        <v>0</v>
      </c>
      <c r="I256" s="6" t="s">
        <v>13</v>
      </c>
      <c r="J256" s="4">
        <f>SUMPRODUCT(--((A256=$A$3:$A$2785)*$H$3:$H$2785&gt;H256))+1</f>
        <v>44</v>
      </c>
    </row>
    <row r="257" s="1" customFormat="true" customHeight="true" spans="1:10">
      <c r="A257" s="4" t="str">
        <f t="shared" si="39"/>
        <v>009</v>
      </c>
      <c r="B257" s="4" t="s">
        <v>20</v>
      </c>
      <c r="C257" s="4" t="str">
        <f>"楚慧"</f>
        <v>楚慧</v>
      </c>
      <c r="D257" s="4" t="str">
        <f>"2021010327"</f>
        <v>2021010327</v>
      </c>
      <c r="E257" s="4" t="str">
        <f t="shared" si="38"/>
        <v>03</v>
      </c>
      <c r="F257" s="4" t="str">
        <f>"27"</f>
        <v>27</v>
      </c>
      <c r="G257" s="4" t="s">
        <v>12</v>
      </c>
      <c r="H257" s="5">
        <v>0</v>
      </c>
      <c r="I257" s="6" t="s">
        <v>13</v>
      </c>
      <c r="J257" s="4">
        <f>SUMPRODUCT(--((A257=$A$3:$A$2785)*$H$3:$H$2785&gt;H257))+1</f>
        <v>44</v>
      </c>
    </row>
    <row r="258" s="1" customFormat="true" customHeight="true" spans="1:10">
      <c r="A258" s="4" t="str">
        <f t="shared" si="39"/>
        <v>009</v>
      </c>
      <c r="B258" s="4" t="s">
        <v>20</v>
      </c>
      <c r="C258" s="4" t="str">
        <f>"陈梦智"</f>
        <v>陈梦智</v>
      </c>
      <c r="D258" s="4" t="str">
        <f>"2021010328"</f>
        <v>2021010328</v>
      </c>
      <c r="E258" s="4" t="str">
        <f t="shared" si="38"/>
        <v>03</v>
      </c>
      <c r="F258" s="4" t="str">
        <f>"28"</f>
        <v>28</v>
      </c>
      <c r="G258" s="4" t="s">
        <v>12</v>
      </c>
      <c r="H258" s="5">
        <v>0</v>
      </c>
      <c r="I258" s="6" t="s">
        <v>13</v>
      </c>
      <c r="J258" s="4">
        <f>SUMPRODUCT(--((A258=$A$3:$A$2785)*$H$3:$H$2785&gt;H258))+1</f>
        <v>44</v>
      </c>
    </row>
    <row r="259" s="1" customFormat="true" customHeight="true" spans="1:10">
      <c r="A259" s="4" t="str">
        <f t="shared" si="39"/>
        <v>009</v>
      </c>
      <c r="B259" s="4" t="s">
        <v>20</v>
      </c>
      <c r="C259" s="4" t="str">
        <f>"王龙斌"</f>
        <v>王龙斌</v>
      </c>
      <c r="D259" s="4" t="str">
        <f>"2021010329"</f>
        <v>2021010329</v>
      </c>
      <c r="E259" s="4" t="str">
        <f t="shared" si="38"/>
        <v>03</v>
      </c>
      <c r="F259" s="4" t="str">
        <f>"29"</f>
        <v>29</v>
      </c>
      <c r="G259" s="4" t="s">
        <v>12</v>
      </c>
      <c r="H259" s="5">
        <v>0</v>
      </c>
      <c r="I259" s="6" t="s">
        <v>13</v>
      </c>
      <c r="J259" s="4">
        <f>SUMPRODUCT(--((A259=$A$3:$A$2785)*$H$3:$H$2785&gt;H259))+1</f>
        <v>44</v>
      </c>
    </row>
    <row r="260" s="1" customFormat="true" customHeight="true" spans="1:10">
      <c r="A260" s="4" t="str">
        <f t="shared" si="39"/>
        <v>009</v>
      </c>
      <c r="B260" s="4" t="s">
        <v>20</v>
      </c>
      <c r="C260" s="4" t="str">
        <f>"彭露"</f>
        <v>彭露</v>
      </c>
      <c r="D260" s="4" t="str">
        <f>"2021010330"</f>
        <v>2021010330</v>
      </c>
      <c r="E260" s="4" t="str">
        <f t="shared" si="38"/>
        <v>03</v>
      </c>
      <c r="F260" s="4" t="str">
        <f>"30"</f>
        <v>30</v>
      </c>
      <c r="G260" s="4" t="s">
        <v>12</v>
      </c>
      <c r="H260" s="5">
        <v>0</v>
      </c>
      <c r="I260" s="6" t="s">
        <v>13</v>
      </c>
      <c r="J260" s="4">
        <f>SUMPRODUCT(--((A260=$A$3:$A$2785)*$H$3:$H$2785&gt;H260))+1</f>
        <v>44</v>
      </c>
    </row>
    <row r="261" s="1" customFormat="true" customHeight="true" spans="1:10">
      <c r="A261" s="4" t="str">
        <f t="shared" si="39"/>
        <v>009</v>
      </c>
      <c r="B261" s="4" t="s">
        <v>20</v>
      </c>
      <c r="C261" s="4" t="str">
        <f>"阳丽萍"</f>
        <v>阳丽萍</v>
      </c>
      <c r="D261" s="4" t="str">
        <f>"2021010401"</f>
        <v>2021010401</v>
      </c>
      <c r="E261" s="4" t="str">
        <f t="shared" ref="E261:E272" si="40">"04"</f>
        <v>04</v>
      </c>
      <c r="F261" s="4" t="str">
        <f>"01"</f>
        <v>01</v>
      </c>
      <c r="G261" s="4" t="s">
        <v>12</v>
      </c>
      <c r="H261" s="5">
        <v>0</v>
      </c>
      <c r="I261" s="6" t="s">
        <v>13</v>
      </c>
      <c r="J261" s="4">
        <f>SUMPRODUCT(--((A261=$A$3:$A$2785)*$H$3:$H$2785&gt;H261))+1</f>
        <v>44</v>
      </c>
    </row>
    <row r="262" s="1" customFormat="true" customHeight="true" spans="1:10">
      <c r="A262" s="4" t="str">
        <f t="shared" si="39"/>
        <v>009</v>
      </c>
      <c r="B262" s="4" t="s">
        <v>20</v>
      </c>
      <c r="C262" s="4" t="str">
        <f>"黄艳阳"</f>
        <v>黄艳阳</v>
      </c>
      <c r="D262" s="4" t="str">
        <f>"2021010403"</f>
        <v>2021010403</v>
      </c>
      <c r="E262" s="4" t="str">
        <f t="shared" si="40"/>
        <v>04</v>
      </c>
      <c r="F262" s="4" t="str">
        <f>"03"</f>
        <v>03</v>
      </c>
      <c r="G262" s="4" t="s">
        <v>12</v>
      </c>
      <c r="H262" s="5">
        <v>0</v>
      </c>
      <c r="I262" s="6" t="s">
        <v>13</v>
      </c>
      <c r="J262" s="4">
        <f>SUMPRODUCT(--((A262=$A$3:$A$2785)*$H$3:$H$2785&gt;H262))+1</f>
        <v>44</v>
      </c>
    </row>
    <row r="263" s="1" customFormat="true" customHeight="true" spans="1:10">
      <c r="A263" s="4" t="str">
        <f t="shared" si="39"/>
        <v>009</v>
      </c>
      <c r="B263" s="4" t="s">
        <v>20</v>
      </c>
      <c r="C263" s="4" t="str">
        <f>"邹玲"</f>
        <v>邹玲</v>
      </c>
      <c r="D263" s="4" t="str">
        <f>"2021010409"</f>
        <v>2021010409</v>
      </c>
      <c r="E263" s="4" t="str">
        <f t="shared" si="40"/>
        <v>04</v>
      </c>
      <c r="F263" s="4" t="str">
        <f>"09"</f>
        <v>09</v>
      </c>
      <c r="G263" s="4" t="s">
        <v>12</v>
      </c>
      <c r="H263" s="5">
        <v>0</v>
      </c>
      <c r="I263" s="6" t="s">
        <v>13</v>
      </c>
      <c r="J263" s="4">
        <f>SUMPRODUCT(--((A263=$A$3:$A$2785)*$H$3:$H$2785&gt;H263))+1</f>
        <v>44</v>
      </c>
    </row>
    <row r="264" s="1" customFormat="true" customHeight="true" spans="1:10">
      <c r="A264" s="4" t="str">
        <f t="shared" si="39"/>
        <v>009</v>
      </c>
      <c r="B264" s="4" t="s">
        <v>20</v>
      </c>
      <c r="C264" s="4" t="str">
        <f>"田春艳"</f>
        <v>田春艳</v>
      </c>
      <c r="D264" s="4" t="str">
        <f>"2021010411"</f>
        <v>2021010411</v>
      </c>
      <c r="E264" s="4" t="str">
        <f t="shared" si="40"/>
        <v>04</v>
      </c>
      <c r="F264" s="4" t="str">
        <f>"11"</f>
        <v>11</v>
      </c>
      <c r="G264" s="4" t="s">
        <v>12</v>
      </c>
      <c r="H264" s="5">
        <v>0</v>
      </c>
      <c r="I264" s="6" t="s">
        <v>13</v>
      </c>
      <c r="J264" s="4">
        <f>SUMPRODUCT(--((A264=$A$3:$A$2785)*$H$3:$H$2785&gt;H264))+1</f>
        <v>44</v>
      </c>
    </row>
    <row r="265" s="1" customFormat="true" customHeight="true" spans="1:10">
      <c r="A265" s="4" t="str">
        <f t="shared" si="39"/>
        <v>009</v>
      </c>
      <c r="B265" s="4" t="s">
        <v>20</v>
      </c>
      <c r="C265" s="4" t="str">
        <f>"吴明扬"</f>
        <v>吴明扬</v>
      </c>
      <c r="D265" s="4" t="str">
        <f>"2021010412"</f>
        <v>2021010412</v>
      </c>
      <c r="E265" s="4" t="str">
        <f t="shared" si="40"/>
        <v>04</v>
      </c>
      <c r="F265" s="4" t="str">
        <f>"12"</f>
        <v>12</v>
      </c>
      <c r="G265" s="4" t="s">
        <v>12</v>
      </c>
      <c r="H265" s="5">
        <v>0</v>
      </c>
      <c r="I265" s="6" t="s">
        <v>13</v>
      </c>
      <c r="J265" s="4">
        <f>SUMPRODUCT(--((A265=$A$3:$A$2785)*$H$3:$H$2785&gt;H265))+1</f>
        <v>44</v>
      </c>
    </row>
    <row r="266" s="1" customFormat="true" customHeight="true" spans="1:10">
      <c r="A266" s="4" t="str">
        <f t="shared" si="39"/>
        <v>009</v>
      </c>
      <c r="B266" s="4" t="s">
        <v>20</v>
      </c>
      <c r="C266" s="4" t="str">
        <f>"李彦娇"</f>
        <v>李彦娇</v>
      </c>
      <c r="D266" s="4" t="str">
        <f>"2021010414"</f>
        <v>2021010414</v>
      </c>
      <c r="E266" s="4" t="str">
        <f t="shared" si="40"/>
        <v>04</v>
      </c>
      <c r="F266" s="4" t="str">
        <f>"14"</f>
        <v>14</v>
      </c>
      <c r="G266" s="4" t="s">
        <v>12</v>
      </c>
      <c r="H266" s="5">
        <v>0</v>
      </c>
      <c r="I266" s="6" t="s">
        <v>13</v>
      </c>
      <c r="J266" s="4">
        <f>SUMPRODUCT(--((A266=$A$3:$A$2785)*$H$3:$H$2785&gt;H266))+1</f>
        <v>44</v>
      </c>
    </row>
    <row r="267" s="1" customFormat="true" customHeight="true" spans="1:10">
      <c r="A267" s="4" t="str">
        <f t="shared" si="39"/>
        <v>009</v>
      </c>
      <c r="B267" s="4" t="s">
        <v>20</v>
      </c>
      <c r="C267" s="4" t="str">
        <f>"向芳圆"</f>
        <v>向芳圆</v>
      </c>
      <c r="D267" s="4" t="str">
        <f>"2021010415"</f>
        <v>2021010415</v>
      </c>
      <c r="E267" s="4" t="str">
        <f t="shared" si="40"/>
        <v>04</v>
      </c>
      <c r="F267" s="4" t="str">
        <f>"15"</f>
        <v>15</v>
      </c>
      <c r="G267" s="4" t="s">
        <v>12</v>
      </c>
      <c r="H267" s="5">
        <v>0</v>
      </c>
      <c r="I267" s="6" t="s">
        <v>13</v>
      </c>
      <c r="J267" s="4">
        <f>SUMPRODUCT(--((A267=$A$3:$A$2785)*$H$3:$H$2785&gt;H267))+1</f>
        <v>44</v>
      </c>
    </row>
    <row r="268" s="1" customFormat="true" customHeight="true" spans="1:10">
      <c r="A268" s="4" t="str">
        <f t="shared" si="39"/>
        <v>009</v>
      </c>
      <c r="B268" s="4" t="s">
        <v>20</v>
      </c>
      <c r="C268" s="4" t="str">
        <f>"米允泸"</f>
        <v>米允泸</v>
      </c>
      <c r="D268" s="4" t="str">
        <f>"2021010416"</f>
        <v>2021010416</v>
      </c>
      <c r="E268" s="4" t="str">
        <f t="shared" si="40"/>
        <v>04</v>
      </c>
      <c r="F268" s="4" t="str">
        <f>"16"</f>
        <v>16</v>
      </c>
      <c r="G268" s="4" t="s">
        <v>12</v>
      </c>
      <c r="H268" s="5">
        <v>0</v>
      </c>
      <c r="I268" s="6" t="s">
        <v>13</v>
      </c>
      <c r="J268" s="4">
        <f>SUMPRODUCT(--((A268=$A$3:$A$2785)*$H$3:$H$2785&gt;H268))+1</f>
        <v>44</v>
      </c>
    </row>
    <row r="269" s="1" customFormat="true" customHeight="true" spans="1:10">
      <c r="A269" s="4" t="str">
        <f t="shared" si="39"/>
        <v>009</v>
      </c>
      <c r="B269" s="4" t="s">
        <v>20</v>
      </c>
      <c r="C269" s="4" t="str">
        <f>"谢添凤"</f>
        <v>谢添凤</v>
      </c>
      <c r="D269" s="4" t="str">
        <f>"2021010417"</f>
        <v>2021010417</v>
      </c>
      <c r="E269" s="4" t="str">
        <f t="shared" si="40"/>
        <v>04</v>
      </c>
      <c r="F269" s="4" t="str">
        <f>"17"</f>
        <v>17</v>
      </c>
      <c r="G269" s="4" t="s">
        <v>12</v>
      </c>
      <c r="H269" s="5">
        <v>0</v>
      </c>
      <c r="I269" s="6" t="s">
        <v>13</v>
      </c>
      <c r="J269" s="4">
        <f>SUMPRODUCT(--((A269=$A$3:$A$2785)*$H$3:$H$2785&gt;H269))+1</f>
        <v>44</v>
      </c>
    </row>
    <row r="270" s="1" customFormat="true" customHeight="true" spans="1:10">
      <c r="A270" s="4" t="str">
        <f t="shared" si="39"/>
        <v>009</v>
      </c>
      <c r="B270" s="4" t="s">
        <v>20</v>
      </c>
      <c r="C270" s="4" t="str">
        <f>"杨蕾玉"</f>
        <v>杨蕾玉</v>
      </c>
      <c r="D270" s="4" t="str">
        <f>"2021010419"</f>
        <v>2021010419</v>
      </c>
      <c r="E270" s="4" t="str">
        <f t="shared" si="40"/>
        <v>04</v>
      </c>
      <c r="F270" s="4" t="str">
        <f>"19"</f>
        <v>19</v>
      </c>
      <c r="G270" s="4" t="s">
        <v>12</v>
      </c>
      <c r="H270" s="5">
        <v>0</v>
      </c>
      <c r="I270" s="6" t="s">
        <v>13</v>
      </c>
      <c r="J270" s="4">
        <f>SUMPRODUCT(--((A270=$A$3:$A$2785)*$H$3:$H$2785&gt;H270))+1</f>
        <v>44</v>
      </c>
    </row>
    <row r="271" s="1" customFormat="true" customHeight="true" spans="1:10">
      <c r="A271" s="4" t="str">
        <f t="shared" si="39"/>
        <v>009</v>
      </c>
      <c r="B271" s="4" t="s">
        <v>20</v>
      </c>
      <c r="C271" s="4" t="str">
        <f>"吴冬雨"</f>
        <v>吴冬雨</v>
      </c>
      <c r="D271" s="4" t="str">
        <f>"2021010421"</f>
        <v>2021010421</v>
      </c>
      <c r="E271" s="4" t="str">
        <f t="shared" si="40"/>
        <v>04</v>
      </c>
      <c r="F271" s="4" t="str">
        <f>"21"</f>
        <v>21</v>
      </c>
      <c r="G271" s="4" t="s">
        <v>12</v>
      </c>
      <c r="H271" s="5">
        <v>0</v>
      </c>
      <c r="I271" s="6" t="s">
        <v>13</v>
      </c>
      <c r="J271" s="4">
        <f>SUMPRODUCT(--((A271=$A$3:$A$2785)*$H$3:$H$2785&gt;H271))+1</f>
        <v>44</v>
      </c>
    </row>
    <row r="272" s="1" customFormat="true" customHeight="true" spans="1:10">
      <c r="A272" s="4" t="str">
        <f t="shared" si="39"/>
        <v>009</v>
      </c>
      <c r="B272" s="4" t="s">
        <v>20</v>
      </c>
      <c r="C272" s="4" t="str">
        <f>"姚红霞"</f>
        <v>姚红霞</v>
      </c>
      <c r="D272" s="4" t="str">
        <f>"2021010425"</f>
        <v>2021010425</v>
      </c>
      <c r="E272" s="4" t="str">
        <f t="shared" si="40"/>
        <v>04</v>
      </c>
      <c r="F272" s="4" t="str">
        <f>"25"</f>
        <v>25</v>
      </c>
      <c r="G272" s="4" t="s">
        <v>12</v>
      </c>
      <c r="H272" s="5">
        <v>0</v>
      </c>
      <c r="I272" s="6" t="s">
        <v>13</v>
      </c>
      <c r="J272" s="4">
        <f>SUMPRODUCT(--((A272=$A$3:$A$2785)*$H$3:$H$2785&gt;H272))+1</f>
        <v>44</v>
      </c>
    </row>
    <row r="273" s="1" customFormat="true" customHeight="true" spans="1:10">
      <c r="A273" s="4" t="str">
        <f t="shared" si="39"/>
        <v>009</v>
      </c>
      <c r="B273" s="4" t="s">
        <v>20</v>
      </c>
      <c r="C273" s="4" t="str">
        <f>"杨洋 "</f>
        <v>杨洋 </v>
      </c>
      <c r="D273" s="4" t="str">
        <f>"2021010502"</f>
        <v>2021010502</v>
      </c>
      <c r="E273" s="4" t="str">
        <f t="shared" ref="E273:E276" si="41">"05"</f>
        <v>05</v>
      </c>
      <c r="F273" s="4" t="str">
        <f>"02"</f>
        <v>02</v>
      </c>
      <c r="G273" s="4" t="s">
        <v>12</v>
      </c>
      <c r="H273" s="5">
        <v>0</v>
      </c>
      <c r="I273" s="6" t="s">
        <v>13</v>
      </c>
      <c r="J273" s="4">
        <f>SUMPRODUCT(--((A273=$A$3:$A$2785)*$H$3:$H$2785&gt;H273))+1</f>
        <v>44</v>
      </c>
    </row>
    <row r="274" s="1" customFormat="true" customHeight="true" spans="1:10">
      <c r="A274" s="4" t="str">
        <f t="shared" si="39"/>
        <v>009</v>
      </c>
      <c r="B274" s="4" t="s">
        <v>20</v>
      </c>
      <c r="C274" s="4" t="str">
        <f>"马溶"</f>
        <v>马溶</v>
      </c>
      <c r="D274" s="4" t="str">
        <f>"2021010504"</f>
        <v>2021010504</v>
      </c>
      <c r="E274" s="4" t="str">
        <f t="shared" si="41"/>
        <v>05</v>
      </c>
      <c r="F274" s="4" t="str">
        <f>"04"</f>
        <v>04</v>
      </c>
      <c r="G274" s="4" t="s">
        <v>12</v>
      </c>
      <c r="H274" s="5">
        <v>0</v>
      </c>
      <c r="I274" s="6" t="s">
        <v>13</v>
      </c>
      <c r="J274" s="4">
        <f>SUMPRODUCT(--((A274=$A$3:$A$2785)*$H$3:$H$2785&gt;H274))+1</f>
        <v>44</v>
      </c>
    </row>
    <row r="275" s="1" customFormat="true" customHeight="true" spans="1:10">
      <c r="A275" s="4" t="str">
        <f t="shared" si="39"/>
        <v>009</v>
      </c>
      <c r="B275" s="4" t="s">
        <v>20</v>
      </c>
      <c r="C275" s="4" t="str">
        <f>"田玉平"</f>
        <v>田玉平</v>
      </c>
      <c r="D275" s="4" t="str">
        <f>"2021010505"</f>
        <v>2021010505</v>
      </c>
      <c r="E275" s="4" t="str">
        <f t="shared" si="41"/>
        <v>05</v>
      </c>
      <c r="F275" s="4" t="str">
        <f>"05"</f>
        <v>05</v>
      </c>
      <c r="G275" s="4" t="s">
        <v>12</v>
      </c>
      <c r="H275" s="5">
        <v>0</v>
      </c>
      <c r="I275" s="6" t="s">
        <v>13</v>
      </c>
      <c r="J275" s="4">
        <f>SUMPRODUCT(--((A275=$A$3:$A$2785)*$H$3:$H$2785&gt;H275))+1</f>
        <v>44</v>
      </c>
    </row>
    <row r="276" s="1" customFormat="true" customHeight="true" spans="1:10">
      <c r="A276" s="4" t="str">
        <f t="shared" si="39"/>
        <v>009</v>
      </c>
      <c r="B276" s="4" t="s">
        <v>20</v>
      </c>
      <c r="C276" s="4" t="str">
        <f>"龙辉"</f>
        <v>龙辉</v>
      </c>
      <c r="D276" s="4" t="str">
        <f>"2021010507"</f>
        <v>2021010507</v>
      </c>
      <c r="E276" s="4" t="str">
        <f t="shared" si="41"/>
        <v>05</v>
      </c>
      <c r="F276" s="4" t="str">
        <f>"07"</f>
        <v>07</v>
      </c>
      <c r="G276" s="4" t="s">
        <v>12</v>
      </c>
      <c r="H276" s="5">
        <v>0</v>
      </c>
      <c r="I276" s="6" t="s">
        <v>13</v>
      </c>
      <c r="J276" s="4">
        <f>SUMPRODUCT(--((A276=$A$3:$A$2785)*$H$3:$H$2785&gt;H276))+1</f>
        <v>44</v>
      </c>
    </row>
    <row r="277" s="1" customFormat="true" customHeight="true" spans="1:10">
      <c r="A277" s="4" t="str">
        <f t="shared" ref="A277:A333" si="42">"010"</f>
        <v>010</v>
      </c>
      <c r="B277" s="4" t="s">
        <v>21</v>
      </c>
      <c r="C277" s="4" t="str">
        <f>"朱晨"</f>
        <v>朱晨</v>
      </c>
      <c r="D277" s="4" t="str">
        <f>"2021012403"</f>
        <v>2021012403</v>
      </c>
      <c r="E277" s="4" t="str">
        <f t="shared" ref="E277:E280" si="43">"24"</f>
        <v>24</v>
      </c>
      <c r="F277" s="4" t="str">
        <f>"03"</f>
        <v>03</v>
      </c>
      <c r="G277" s="4" t="s">
        <v>12</v>
      </c>
      <c r="H277" s="5">
        <v>74.75</v>
      </c>
      <c r="I277" s="4"/>
      <c r="J277" s="4">
        <f>SUMPRODUCT(--((A277=$A$3:$A$2785)*$H$3:$H$2785&gt;H277))+1</f>
        <v>1</v>
      </c>
    </row>
    <row r="278" s="1" customFormat="true" customHeight="true" spans="1:10">
      <c r="A278" s="4" t="str">
        <f t="shared" si="42"/>
        <v>010</v>
      </c>
      <c r="B278" s="4" t="s">
        <v>21</v>
      </c>
      <c r="C278" s="4" t="str">
        <f>"黄火锴"</f>
        <v>黄火锴</v>
      </c>
      <c r="D278" s="4" t="str">
        <f>"2021012515"</f>
        <v>2021012515</v>
      </c>
      <c r="E278" s="4" t="str">
        <f>"25"</f>
        <v>25</v>
      </c>
      <c r="F278" s="4" t="str">
        <f>"15"</f>
        <v>15</v>
      </c>
      <c r="G278" s="4" t="s">
        <v>12</v>
      </c>
      <c r="H278" s="5">
        <v>73.25</v>
      </c>
      <c r="I278" s="4"/>
      <c r="J278" s="4">
        <f>SUMPRODUCT(--((A278=$A$3:$A$2785)*$H$3:$H$2785&gt;H278))+1</f>
        <v>2</v>
      </c>
    </row>
    <row r="279" s="1" customFormat="true" customHeight="true" spans="1:10">
      <c r="A279" s="4" t="str">
        <f t="shared" si="42"/>
        <v>010</v>
      </c>
      <c r="B279" s="4" t="s">
        <v>21</v>
      </c>
      <c r="C279" s="4" t="str">
        <f>"刘晴香"</f>
        <v>刘晴香</v>
      </c>
      <c r="D279" s="4" t="str">
        <f>"2021012426"</f>
        <v>2021012426</v>
      </c>
      <c r="E279" s="4" t="str">
        <f t="shared" si="43"/>
        <v>24</v>
      </c>
      <c r="F279" s="4" t="str">
        <f>"26"</f>
        <v>26</v>
      </c>
      <c r="G279" s="4" t="s">
        <v>12</v>
      </c>
      <c r="H279" s="5">
        <v>72</v>
      </c>
      <c r="I279" s="4"/>
      <c r="J279" s="4">
        <f>SUMPRODUCT(--((A279=$A$3:$A$2785)*$H$3:$H$2785&gt;H279))+1</f>
        <v>3</v>
      </c>
    </row>
    <row r="280" s="1" customFormat="true" customHeight="true" spans="1:10">
      <c r="A280" s="4" t="str">
        <f t="shared" si="42"/>
        <v>010</v>
      </c>
      <c r="B280" s="4" t="s">
        <v>21</v>
      </c>
      <c r="C280" s="4" t="str">
        <f>"滕敦荣"</f>
        <v>滕敦荣</v>
      </c>
      <c r="D280" s="4" t="str">
        <f>"2021012423"</f>
        <v>2021012423</v>
      </c>
      <c r="E280" s="4" t="str">
        <f t="shared" si="43"/>
        <v>24</v>
      </c>
      <c r="F280" s="4" t="str">
        <f>"23"</f>
        <v>23</v>
      </c>
      <c r="G280" s="4" t="s">
        <v>12</v>
      </c>
      <c r="H280" s="5">
        <v>71.5</v>
      </c>
      <c r="I280" s="4"/>
      <c r="J280" s="4">
        <f>SUMPRODUCT(--((A280=$A$3:$A$2785)*$H$3:$H$2785&gt;H280))+1</f>
        <v>4</v>
      </c>
    </row>
    <row r="281" s="1" customFormat="true" customHeight="true" spans="1:10">
      <c r="A281" s="4" t="str">
        <f t="shared" si="42"/>
        <v>010</v>
      </c>
      <c r="B281" s="4" t="s">
        <v>21</v>
      </c>
      <c r="C281" s="4" t="str">
        <f>"张奇"</f>
        <v>张奇</v>
      </c>
      <c r="D281" s="4" t="str">
        <f>"2021012503"</f>
        <v>2021012503</v>
      </c>
      <c r="E281" s="4" t="str">
        <f>"25"</f>
        <v>25</v>
      </c>
      <c r="F281" s="4" t="str">
        <f>"03"</f>
        <v>03</v>
      </c>
      <c r="G281" s="4" t="s">
        <v>12</v>
      </c>
      <c r="H281" s="5">
        <v>71</v>
      </c>
      <c r="I281" s="4"/>
      <c r="J281" s="4">
        <f>SUMPRODUCT(--((A281=$A$3:$A$2785)*$H$3:$H$2785&gt;H281))+1</f>
        <v>5</v>
      </c>
    </row>
    <row r="282" s="1" customFormat="true" customHeight="true" spans="1:10">
      <c r="A282" s="4" t="str">
        <f t="shared" si="42"/>
        <v>010</v>
      </c>
      <c r="B282" s="4" t="s">
        <v>21</v>
      </c>
      <c r="C282" s="4" t="str">
        <f>"张婷"</f>
        <v>张婷</v>
      </c>
      <c r="D282" s="4" t="str">
        <f>"2021012406"</f>
        <v>2021012406</v>
      </c>
      <c r="E282" s="4" t="str">
        <f t="shared" ref="E282:E287" si="44">"24"</f>
        <v>24</v>
      </c>
      <c r="F282" s="4" t="str">
        <f>"06"</f>
        <v>06</v>
      </c>
      <c r="G282" s="4" t="s">
        <v>12</v>
      </c>
      <c r="H282" s="5">
        <v>70.25</v>
      </c>
      <c r="I282" s="4"/>
      <c r="J282" s="4">
        <f>SUMPRODUCT(--((A282=$A$3:$A$2785)*$H$3:$H$2785&gt;H282))+1</f>
        <v>6</v>
      </c>
    </row>
    <row r="283" s="1" customFormat="true" customHeight="true" spans="1:10">
      <c r="A283" s="4" t="str">
        <f t="shared" si="42"/>
        <v>010</v>
      </c>
      <c r="B283" s="4" t="s">
        <v>21</v>
      </c>
      <c r="C283" s="4" t="str">
        <f>"刘藤藤"</f>
        <v>刘藤藤</v>
      </c>
      <c r="D283" s="4" t="str">
        <f>"2021012429"</f>
        <v>2021012429</v>
      </c>
      <c r="E283" s="4" t="str">
        <f t="shared" si="44"/>
        <v>24</v>
      </c>
      <c r="F283" s="4" t="str">
        <f>"29"</f>
        <v>29</v>
      </c>
      <c r="G283" s="4" t="s">
        <v>12</v>
      </c>
      <c r="H283" s="5">
        <v>70.25</v>
      </c>
      <c r="I283" s="4"/>
      <c r="J283" s="4">
        <f>SUMPRODUCT(--((A283=$A$3:$A$2785)*$H$3:$H$2785&gt;H283))+1</f>
        <v>6</v>
      </c>
    </row>
    <row r="284" s="1" customFormat="true" customHeight="true" spans="1:10">
      <c r="A284" s="4" t="str">
        <f t="shared" si="42"/>
        <v>010</v>
      </c>
      <c r="B284" s="4" t="s">
        <v>21</v>
      </c>
      <c r="C284" s="4" t="str">
        <f>"彭慧琳"</f>
        <v>彭慧琳</v>
      </c>
      <c r="D284" s="4" t="str">
        <f>"2021012323"</f>
        <v>2021012323</v>
      </c>
      <c r="E284" s="4" t="str">
        <f>"23"</f>
        <v>23</v>
      </c>
      <c r="F284" s="4" t="str">
        <f>"23"</f>
        <v>23</v>
      </c>
      <c r="G284" s="4" t="s">
        <v>12</v>
      </c>
      <c r="H284" s="5">
        <v>69</v>
      </c>
      <c r="I284" s="4"/>
      <c r="J284" s="4">
        <f>SUMPRODUCT(--((A284=$A$3:$A$2785)*$H$3:$H$2785&gt;H284))+1</f>
        <v>8</v>
      </c>
    </row>
    <row r="285" s="1" customFormat="true" customHeight="true" spans="1:10">
      <c r="A285" s="4" t="str">
        <f t="shared" si="42"/>
        <v>010</v>
      </c>
      <c r="B285" s="4" t="s">
        <v>21</v>
      </c>
      <c r="C285" s="4" t="str">
        <f>"张娟"</f>
        <v>张娟</v>
      </c>
      <c r="D285" s="4" t="str">
        <f>"2021012419"</f>
        <v>2021012419</v>
      </c>
      <c r="E285" s="4" t="str">
        <f t="shared" si="44"/>
        <v>24</v>
      </c>
      <c r="F285" s="4" t="str">
        <f>"19"</f>
        <v>19</v>
      </c>
      <c r="G285" s="4" t="s">
        <v>12</v>
      </c>
      <c r="H285" s="5">
        <v>69</v>
      </c>
      <c r="I285" s="4"/>
      <c r="J285" s="4">
        <f>SUMPRODUCT(--((A285=$A$3:$A$2785)*$H$3:$H$2785&gt;H285))+1</f>
        <v>8</v>
      </c>
    </row>
    <row r="286" s="1" customFormat="true" customHeight="true" spans="1:10">
      <c r="A286" s="4" t="str">
        <f t="shared" si="42"/>
        <v>010</v>
      </c>
      <c r="B286" s="4" t="s">
        <v>21</v>
      </c>
      <c r="C286" s="4" t="str">
        <f>"唐宏亮"</f>
        <v>唐宏亮</v>
      </c>
      <c r="D286" s="4" t="str">
        <f>"2021012411"</f>
        <v>2021012411</v>
      </c>
      <c r="E286" s="4" t="str">
        <f t="shared" si="44"/>
        <v>24</v>
      </c>
      <c r="F286" s="4" t="str">
        <f>"11"</f>
        <v>11</v>
      </c>
      <c r="G286" s="4" t="s">
        <v>12</v>
      </c>
      <c r="H286" s="5">
        <v>67.75</v>
      </c>
      <c r="I286" s="4"/>
      <c r="J286" s="4">
        <f>SUMPRODUCT(--((A286=$A$3:$A$2785)*$H$3:$H$2785&gt;H286))+1</f>
        <v>10</v>
      </c>
    </row>
    <row r="287" s="1" customFormat="true" customHeight="true" spans="1:10">
      <c r="A287" s="4" t="str">
        <f t="shared" si="42"/>
        <v>010</v>
      </c>
      <c r="B287" s="4" t="s">
        <v>21</v>
      </c>
      <c r="C287" s="4" t="str">
        <f>"杨金玲"</f>
        <v>杨金玲</v>
      </c>
      <c r="D287" s="4" t="str">
        <f>"2021012418"</f>
        <v>2021012418</v>
      </c>
      <c r="E287" s="4" t="str">
        <f t="shared" si="44"/>
        <v>24</v>
      </c>
      <c r="F287" s="4" t="str">
        <f>"18"</f>
        <v>18</v>
      </c>
      <c r="G287" s="4" t="s">
        <v>12</v>
      </c>
      <c r="H287" s="5">
        <v>67</v>
      </c>
      <c r="I287" s="4"/>
      <c r="J287" s="4">
        <f>SUMPRODUCT(--((A287=$A$3:$A$2785)*$H$3:$H$2785&gt;H287))+1</f>
        <v>11</v>
      </c>
    </row>
    <row r="288" s="1" customFormat="true" customHeight="true" spans="1:10">
      <c r="A288" s="4" t="str">
        <f t="shared" si="42"/>
        <v>010</v>
      </c>
      <c r="B288" s="4" t="s">
        <v>21</v>
      </c>
      <c r="C288" s="4" t="str">
        <f>"刘龙"</f>
        <v>刘龙</v>
      </c>
      <c r="D288" s="4" t="str">
        <f>"2021012330"</f>
        <v>2021012330</v>
      </c>
      <c r="E288" s="4" t="str">
        <f t="shared" ref="E288:E293" si="45">"23"</f>
        <v>23</v>
      </c>
      <c r="F288" s="4" t="str">
        <f>"30"</f>
        <v>30</v>
      </c>
      <c r="G288" s="4" t="s">
        <v>12</v>
      </c>
      <c r="H288" s="5">
        <v>66.5</v>
      </c>
      <c r="I288" s="4"/>
      <c r="J288" s="4">
        <f>SUMPRODUCT(--((A288=$A$3:$A$2785)*$H$3:$H$2785&gt;H288))+1</f>
        <v>12</v>
      </c>
    </row>
    <row r="289" s="1" customFormat="true" customHeight="true" spans="1:10">
      <c r="A289" s="4" t="str">
        <f t="shared" si="42"/>
        <v>010</v>
      </c>
      <c r="B289" s="4" t="s">
        <v>21</v>
      </c>
      <c r="C289" s="4" t="str">
        <f>"石玲莉"</f>
        <v>石玲莉</v>
      </c>
      <c r="D289" s="4" t="str">
        <f>"2021012508"</f>
        <v>2021012508</v>
      </c>
      <c r="E289" s="4" t="str">
        <f t="shared" ref="E289:E291" si="46">"25"</f>
        <v>25</v>
      </c>
      <c r="F289" s="4" t="str">
        <f>"08"</f>
        <v>08</v>
      </c>
      <c r="G289" s="4" t="s">
        <v>12</v>
      </c>
      <c r="H289" s="5">
        <v>65.75</v>
      </c>
      <c r="I289" s="4"/>
      <c r="J289" s="4">
        <f>SUMPRODUCT(--((A289=$A$3:$A$2785)*$H$3:$H$2785&gt;H289))+1</f>
        <v>13</v>
      </c>
    </row>
    <row r="290" s="1" customFormat="true" customHeight="true" spans="1:10">
      <c r="A290" s="4" t="str">
        <f t="shared" si="42"/>
        <v>010</v>
      </c>
      <c r="B290" s="4" t="s">
        <v>21</v>
      </c>
      <c r="C290" s="4" t="str">
        <f>"佘颖月"</f>
        <v>佘颖月</v>
      </c>
      <c r="D290" s="4" t="str">
        <f>"2021012510"</f>
        <v>2021012510</v>
      </c>
      <c r="E290" s="4" t="str">
        <f t="shared" si="46"/>
        <v>25</v>
      </c>
      <c r="F290" s="4" t="str">
        <f>"10"</f>
        <v>10</v>
      </c>
      <c r="G290" s="4" t="s">
        <v>12</v>
      </c>
      <c r="H290" s="5">
        <v>65.75</v>
      </c>
      <c r="I290" s="4"/>
      <c r="J290" s="4">
        <f>SUMPRODUCT(--((A290=$A$3:$A$2785)*$H$3:$H$2785&gt;H290))+1</f>
        <v>13</v>
      </c>
    </row>
    <row r="291" s="1" customFormat="true" customHeight="true" spans="1:10">
      <c r="A291" s="4" t="str">
        <f t="shared" si="42"/>
        <v>010</v>
      </c>
      <c r="B291" s="4" t="s">
        <v>21</v>
      </c>
      <c r="C291" s="4" t="str">
        <f>"郑薛交"</f>
        <v>郑薛交</v>
      </c>
      <c r="D291" s="4" t="str">
        <f>"2021012506"</f>
        <v>2021012506</v>
      </c>
      <c r="E291" s="4" t="str">
        <f t="shared" si="46"/>
        <v>25</v>
      </c>
      <c r="F291" s="4" t="str">
        <f>"06"</f>
        <v>06</v>
      </c>
      <c r="G291" s="4" t="s">
        <v>12</v>
      </c>
      <c r="H291" s="5">
        <v>64</v>
      </c>
      <c r="I291" s="4"/>
      <c r="J291" s="4">
        <f>SUMPRODUCT(--((A291=$A$3:$A$2785)*$H$3:$H$2785&gt;H291))+1</f>
        <v>15</v>
      </c>
    </row>
    <row r="292" s="1" customFormat="true" customHeight="true" spans="1:10">
      <c r="A292" s="4" t="str">
        <f t="shared" si="42"/>
        <v>010</v>
      </c>
      <c r="B292" s="4" t="s">
        <v>21</v>
      </c>
      <c r="C292" s="4" t="str">
        <f>"夏子杰"</f>
        <v>夏子杰</v>
      </c>
      <c r="D292" s="4" t="str">
        <f>"2021012322"</f>
        <v>2021012322</v>
      </c>
      <c r="E292" s="4" t="str">
        <f t="shared" si="45"/>
        <v>23</v>
      </c>
      <c r="F292" s="4" t="str">
        <f>"22"</f>
        <v>22</v>
      </c>
      <c r="G292" s="4" t="s">
        <v>12</v>
      </c>
      <c r="H292" s="5">
        <v>63.25</v>
      </c>
      <c r="I292" s="4"/>
      <c r="J292" s="4">
        <f>SUMPRODUCT(--((A292=$A$3:$A$2785)*$H$3:$H$2785&gt;H292))+1</f>
        <v>16</v>
      </c>
    </row>
    <row r="293" s="1" customFormat="true" customHeight="true" spans="1:10">
      <c r="A293" s="4" t="str">
        <f t="shared" si="42"/>
        <v>010</v>
      </c>
      <c r="B293" s="4" t="s">
        <v>21</v>
      </c>
      <c r="C293" s="4" t="str">
        <f>"龚林君"</f>
        <v>龚林君</v>
      </c>
      <c r="D293" s="4" t="str">
        <f>"2021012328"</f>
        <v>2021012328</v>
      </c>
      <c r="E293" s="4" t="str">
        <f t="shared" si="45"/>
        <v>23</v>
      </c>
      <c r="F293" s="4" t="str">
        <f>"28"</f>
        <v>28</v>
      </c>
      <c r="G293" s="4" t="s">
        <v>12</v>
      </c>
      <c r="H293" s="5">
        <v>63.25</v>
      </c>
      <c r="I293" s="4"/>
      <c r="J293" s="4">
        <f>SUMPRODUCT(--((A293=$A$3:$A$2785)*$H$3:$H$2785&gt;H293))+1</f>
        <v>16</v>
      </c>
    </row>
    <row r="294" s="1" customFormat="true" ht="62.25" customHeight="true" spans="1:10">
      <c r="A294" s="4" t="str">
        <f t="shared" si="42"/>
        <v>010</v>
      </c>
      <c r="B294" s="4" t="s">
        <v>21</v>
      </c>
      <c r="C294" s="4" t="str">
        <f>"罗璠"</f>
        <v>罗璠</v>
      </c>
      <c r="D294" s="4" t="str">
        <f>"2021012422"</f>
        <v>2021012422</v>
      </c>
      <c r="E294" s="4" t="str">
        <f t="shared" ref="E294:E298" si="47">"24"</f>
        <v>24</v>
      </c>
      <c r="F294" s="4" t="str">
        <f>"22"</f>
        <v>22</v>
      </c>
      <c r="G294" s="4" t="s">
        <v>12</v>
      </c>
      <c r="H294" s="5">
        <v>60.5</v>
      </c>
      <c r="I294" s="7"/>
      <c r="J294" s="4">
        <f>SUMPRODUCT(--((A294=$A$3:$A$2785)*$H$3:$H$2785&gt;H294))+1</f>
        <v>18</v>
      </c>
    </row>
    <row r="295" s="1" customFormat="true" customHeight="true" spans="1:10">
      <c r="A295" s="4" t="str">
        <f t="shared" si="42"/>
        <v>010</v>
      </c>
      <c r="B295" s="4" t="s">
        <v>21</v>
      </c>
      <c r="C295" s="4" t="str">
        <f>"舒晨"</f>
        <v>舒晨</v>
      </c>
      <c r="D295" s="4" t="str">
        <f>"2021012427"</f>
        <v>2021012427</v>
      </c>
      <c r="E295" s="4" t="str">
        <f t="shared" si="47"/>
        <v>24</v>
      </c>
      <c r="F295" s="4" t="str">
        <f>"27"</f>
        <v>27</v>
      </c>
      <c r="G295" s="4" t="s">
        <v>12</v>
      </c>
      <c r="H295" s="5">
        <v>60.5</v>
      </c>
      <c r="I295" s="4"/>
      <c r="J295" s="4">
        <f>SUMPRODUCT(--((A295=$A$3:$A$2785)*$H$3:$H$2785&gt;H295))+1</f>
        <v>18</v>
      </c>
    </row>
    <row r="296" s="1" customFormat="true" customHeight="true" spans="1:10">
      <c r="A296" s="4" t="str">
        <f t="shared" si="42"/>
        <v>010</v>
      </c>
      <c r="B296" s="4" t="s">
        <v>21</v>
      </c>
      <c r="C296" s="4" t="str">
        <f>"薛彬"</f>
        <v>薛彬</v>
      </c>
      <c r="D296" s="4" t="str">
        <f>"2021012424"</f>
        <v>2021012424</v>
      </c>
      <c r="E296" s="4" t="str">
        <f t="shared" si="47"/>
        <v>24</v>
      </c>
      <c r="F296" s="4" t="str">
        <f>"24"</f>
        <v>24</v>
      </c>
      <c r="G296" s="4" t="s">
        <v>12</v>
      </c>
      <c r="H296" s="5">
        <v>60.25</v>
      </c>
      <c r="I296" s="4"/>
      <c r="J296" s="4">
        <f>SUMPRODUCT(--((A296=$A$3:$A$2785)*$H$3:$H$2785&gt;H296))+1</f>
        <v>20</v>
      </c>
    </row>
    <row r="297" s="1" customFormat="true" customHeight="true" spans="1:10">
      <c r="A297" s="4" t="str">
        <f t="shared" si="42"/>
        <v>010</v>
      </c>
      <c r="B297" s="4" t="s">
        <v>21</v>
      </c>
      <c r="C297" s="4" t="str">
        <f>"杨泽博"</f>
        <v>杨泽博</v>
      </c>
      <c r="D297" s="4" t="str">
        <f>"2021012408"</f>
        <v>2021012408</v>
      </c>
      <c r="E297" s="4" t="str">
        <f t="shared" si="47"/>
        <v>24</v>
      </c>
      <c r="F297" s="4" t="str">
        <f>"08"</f>
        <v>08</v>
      </c>
      <c r="G297" s="4" t="s">
        <v>12</v>
      </c>
      <c r="H297" s="5">
        <v>59.75</v>
      </c>
      <c r="I297" s="4"/>
      <c r="J297" s="4">
        <f>SUMPRODUCT(--((A297=$A$3:$A$2785)*$H$3:$H$2785&gt;H297))+1</f>
        <v>21</v>
      </c>
    </row>
    <row r="298" s="1" customFormat="true" customHeight="true" spans="1:10">
      <c r="A298" s="4" t="str">
        <f t="shared" si="42"/>
        <v>010</v>
      </c>
      <c r="B298" s="4" t="s">
        <v>21</v>
      </c>
      <c r="C298" s="4" t="str">
        <f>"谭姿"</f>
        <v>谭姿</v>
      </c>
      <c r="D298" s="4" t="str">
        <f>"2021012407"</f>
        <v>2021012407</v>
      </c>
      <c r="E298" s="4" t="str">
        <f t="shared" si="47"/>
        <v>24</v>
      </c>
      <c r="F298" s="4" t="str">
        <f>"07"</f>
        <v>07</v>
      </c>
      <c r="G298" s="4" t="s">
        <v>12</v>
      </c>
      <c r="H298" s="5">
        <v>58.25</v>
      </c>
      <c r="I298" s="4"/>
      <c r="J298" s="4">
        <f>SUMPRODUCT(--((A298=$A$3:$A$2785)*$H$3:$H$2785&gt;H298))+1</f>
        <v>22</v>
      </c>
    </row>
    <row r="299" s="1" customFormat="true" customHeight="true" spans="1:10">
      <c r="A299" s="4" t="str">
        <f t="shared" si="42"/>
        <v>010</v>
      </c>
      <c r="B299" s="4" t="s">
        <v>21</v>
      </c>
      <c r="C299" s="4" t="str">
        <f>"舒欢"</f>
        <v>舒欢</v>
      </c>
      <c r="D299" s="4" t="str">
        <f>"2021012327"</f>
        <v>2021012327</v>
      </c>
      <c r="E299" s="4" t="str">
        <f t="shared" ref="E299:E304" si="48">"23"</f>
        <v>23</v>
      </c>
      <c r="F299" s="4" t="str">
        <f>"27"</f>
        <v>27</v>
      </c>
      <c r="G299" s="4" t="s">
        <v>12</v>
      </c>
      <c r="H299" s="5">
        <v>55.5</v>
      </c>
      <c r="I299" s="4"/>
      <c r="J299" s="4">
        <f>SUMPRODUCT(--((A299=$A$3:$A$2785)*$H$3:$H$2785&gt;H299))+1</f>
        <v>23</v>
      </c>
    </row>
    <row r="300" s="1" customFormat="true" customHeight="true" spans="1:10">
      <c r="A300" s="4" t="str">
        <f t="shared" si="42"/>
        <v>010</v>
      </c>
      <c r="B300" s="4" t="s">
        <v>21</v>
      </c>
      <c r="C300" s="4" t="str">
        <f>"孙伟杰"</f>
        <v>孙伟杰</v>
      </c>
      <c r="D300" s="4" t="str">
        <f>"2021012321"</f>
        <v>2021012321</v>
      </c>
      <c r="E300" s="4" t="str">
        <f t="shared" si="48"/>
        <v>23</v>
      </c>
      <c r="F300" s="4" t="str">
        <f>"21"</f>
        <v>21</v>
      </c>
      <c r="G300" s="4" t="s">
        <v>12</v>
      </c>
      <c r="H300" s="5">
        <v>0</v>
      </c>
      <c r="I300" s="6" t="s">
        <v>13</v>
      </c>
      <c r="J300" s="4">
        <f>SUMPRODUCT(--((A300=$A$3:$A$2785)*$H$3:$H$2785&gt;H300))+1</f>
        <v>24</v>
      </c>
    </row>
    <row r="301" s="1" customFormat="true" customHeight="true" spans="1:10">
      <c r="A301" s="4" t="str">
        <f t="shared" si="42"/>
        <v>010</v>
      </c>
      <c r="B301" s="4" t="s">
        <v>21</v>
      </c>
      <c r="C301" s="4" t="str">
        <f>"梁倩"</f>
        <v>梁倩</v>
      </c>
      <c r="D301" s="4" t="str">
        <f>"2021012324"</f>
        <v>2021012324</v>
      </c>
      <c r="E301" s="4" t="str">
        <f t="shared" si="48"/>
        <v>23</v>
      </c>
      <c r="F301" s="4" t="str">
        <f>"24"</f>
        <v>24</v>
      </c>
      <c r="G301" s="4" t="s">
        <v>12</v>
      </c>
      <c r="H301" s="5">
        <v>0</v>
      </c>
      <c r="I301" s="6" t="s">
        <v>13</v>
      </c>
      <c r="J301" s="4">
        <f>SUMPRODUCT(--((A301=$A$3:$A$2785)*$H$3:$H$2785&gt;H301))+1</f>
        <v>24</v>
      </c>
    </row>
    <row r="302" s="1" customFormat="true" customHeight="true" spans="1:10">
      <c r="A302" s="4" t="str">
        <f t="shared" si="42"/>
        <v>010</v>
      </c>
      <c r="B302" s="4" t="s">
        <v>21</v>
      </c>
      <c r="C302" s="4" t="str">
        <f>"张敏娟"</f>
        <v>张敏娟</v>
      </c>
      <c r="D302" s="4" t="str">
        <f>"2021012325"</f>
        <v>2021012325</v>
      </c>
      <c r="E302" s="4" t="str">
        <f t="shared" si="48"/>
        <v>23</v>
      </c>
      <c r="F302" s="4" t="str">
        <f>"25"</f>
        <v>25</v>
      </c>
      <c r="G302" s="4" t="s">
        <v>12</v>
      </c>
      <c r="H302" s="5">
        <v>0</v>
      </c>
      <c r="I302" s="6" t="s">
        <v>13</v>
      </c>
      <c r="J302" s="4">
        <f>SUMPRODUCT(--((A302=$A$3:$A$2785)*$H$3:$H$2785&gt;H302))+1</f>
        <v>24</v>
      </c>
    </row>
    <row r="303" s="1" customFormat="true" customHeight="true" spans="1:10">
      <c r="A303" s="4" t="str">
        <f t="shared" si="42"/>
        <v>010</v>
      </c>
      <c r="B303" s="4" t="s">
        <v>21</v>
      </c>
      <c r="C303" s="4" t="str">
        <f>"向芷慧"</f>
        <v>向芷慧</v>
      </c>
      <c r="D303" s="4" t="str">
        <f>"2021012326"</f>
        <v>2021012326</v>
      </c>
      <c r="E303" s="4" t="str">
        <f t="shared" si="48"/>
        <v>23</v>
      </c>
      <c r="F303" s="4" t="str">
        <f>"26"</f>
        <v>26</v>
      </c>
      <c r="G303" s="4" t="s">
        <v>12</v>
      </c>
      <c r="H303" s="5">
        <v>0</v>
      </c>
      <c r="I303" s="6" t="s">
        <v>13</v>
      </c>
      <c r="J303" s="4">
        <f>SUMPRODUCT(--((A303=$A$3:$A$2785)*$H$3:$H$2785&gt;H303))+1</f>
        <v>24</v>
      </c>
    </row>
    <row r="304" s="1" customFormat="true" customHeight="true" spans="1:10">
      <c r="A304" s="4" t="str">
        <f t="shared" si="42"/>
        <v>010</v>
      </c>
      <c r="B304" s="4" t="s">
        <v>21</v>
      </c>
      <c r="C304" s="4" t="str">
        <f>"郑娟"</f>
        <v>郑娟</v>
      </c>
      <c r="D304" s="4" t="str">
        <f>"2021012329"</f>
        <v>2021012329</v>
      </c>
      <c r="E304" s="4" t="str">
        <f t="shared" si="48"/>
        <v>23</v>
      </c>
      <c r="F304" s="4" t="str">
        <f>"29"</f>
        <v>29</v>
      </c>
      <c r="G304" s="4" t="s">
        <v>12</v>
      </c>
      <c r="H304" s="5">
        <v>0</v>
      </c>
      <c r="I304" s="6" t="s">
        <v>13</v>
      </c>
      <c r="J304" s="4">
        <f>SUMPRODUCT(--((A304=$A$3:$A$2785)*$H$3:$H$2785&gt;H304))+1</f>
        <v>24</v>
      </c>
    </row>
    <row r="305" s="1" customFormat="true" customHeight="true" spans="1:10">
      <c r="A305" s="4" t="str">
        <f t="shared" si="42"/>
        <v>010</v>
      </c>
      <c r="B305" s="4" t="s">
        <v>21</v>
      </c>
      <c r="C305" s="4" t="str">
        <f>"余燕燕"</f>
        <v>余燕燕</v>
      </c>
      <c r="D305" s="4" t="str">
        <f>"2021012401"</f>
        <v>2021012401</v>
      </c>
      <c r="E305" s="4" t="str">
        <f t="shared" ref="E305:E321" si="49">"24"</f>
        <v>24</v>
      </c>
      <c r="F305" s="4" t="str">
        <f>"01"</f>
        <v>01</v>
      </c>
      <c r="G305" s="4" t="s">
        <v>12</v>
      </c>
      <c r="H305" s="5">
        <v>0</v>
      </c>
      <c r="I305" s="6" t="s">
        <v>13</v>
      </c>
      <c r="J305" s="4">
        <f>SUMPRODUCT(--((A305=$A$3:$A$2785)*$H$3:$H$2785&gt;H305))+1</f>
        <v>24</v>
      </c>
    </row>
    <row r="306" s="1" customFormat="true" customHeight="true" spans="1:10">
      <c r="A306" s="4" t="str">
        <f t="shared" si="42"/>
        <v>010</v>
      </c>
      <c r="B306" s="4" t="s">
        <v>21</v>
      </c>
      <c r="C306" s="4" t="str">
        <f>"张丽萍"</f>
        <v>张丽萍</v>
      </c>
      <c r="D306" s="4" t="str">
        <f>"2021012402"</f>
        <v>2021012402</v>
      </c>
      <c r="E306" s="4" t="str">
        <f t="shared" si="49"/>
        <v>24</v>
      </c>
      <c r="F306" s="4" t="str">
        <f>"02"</f>
        <v>02</v>
      </c>
      <c r="G306" s="4" t="s">
        <v>12</v>
      </c>
      <c r="H306" s="5">
        <v>0</v>
      </c>
      <c r="I306" s="6" t="s">
        <v>13</v>
      </c>
      <c r="J306" s="4">
        <f>SUMPRODUCT(--((A306=$A$3:$A$2785)*$H$3:$H$2785&gt;H306))+1</f>
        <v>24</v>
      </c>
    </row>
    <row r="307" s="1" customFormat="true" customHeight="true" spans="1:10">
      <c r="A307" s="4" t="str">
        <f t="shared" si="42"/>
        <v>010</v>
      </c>
      <c r="B307" s="4" t="s">
        <v>21</v>
      </c>
      <c r="C307" s="4" t="str">
        <f>"张飞燕"</f>
        <v>张飞燕</v>
      </c>
      <c r="D307" s="4" t="str">
        <f>"2021012404"</f>
        <v>2021012404</v>
      </c>
      <c r="E307" s="4" t="str">
        <f t="shared" si="49"/>
        <v>24</v>
      </c>
      <c r="F307" s="4" t="str">
        <f>"04"</f>
        <v>04</v>
      </c>
      <c r="G307" s="4" t="s">
        <v>12</v>
      </c>
      <c r="H307" s="5">
        <v>0</v>
      </c>
      <c r="I307" s="6" t="s">
        <v>13</v>
      </c>
      <c r="J307" s="4">
        <f>SUMPRODUCT(--((A307=$A$3:$A$2785)*$H$3:$H$2785&gt;H307))+1</f>
        <v>24</v>
      </c>
    </row>
    <row r="308" s="1" customFormat="true" customHeight="true" spans="1:10">
      <c r="A308" s="4" t="str">
        <f t="shared" si="42"/>
        <v>010</v>
      </c>
      <c r="B308" s="4" t="s">
        <v>21</v>
      </c>
      <c r="C308" s="4" t="str">
        <f>"杨李"</f>
        <v>杨李</v>
      </c>
      <c r="D308" s="4" t="str">
        <f>"2021012405"</f>
        <v>2021012405</v>
      </c>
      <c r="E308" s="4" t="str">
        <f t="shared" si="49"/>
        <v>24</v>
      </c>
      <c r="F308" s="4" t="str">
        <f>"05"</f>
        <v>05</v>
      </c>
      <c r="G308" s="4" t="s">
        <v>12</v>
      </c>
      <c r="H308" s="5">
        <v>0</v>
      </c>
      <c r="I308" s="6" t="s">
        <v>13</v>
      </c>
      <c r="J308" s="4">
        <f>SUMPRODUCT(--((A308=$A$3:$A$2785)*$H$3:$H$2785&gt;H308))+1</f>
        <v>24</v>
      </c>
    </row>
    <row r="309" s="1" customFormat="true" customHeight="true" spans="1:10">
      <c r="A309" s="4" t="str">
        <f t="shared" si="42"/>
        <v>010</v>
      </c>
      <c r="B309" s="4" t="s">
        <v>21</v>
      </c>
      <c r="C309" s="4" t="str">
        <f>"张文静"</f>
        <v>张文静</v>
      </c>
      <c r="D309" s="4" t="str">
        <f>"2021012409"</f>
        <v>2021012409</v>
      </c>
      <c r="E309" s="4" t="str">
        <f t="shared" si="49"/>
        <v>24</v>
      </c>
      <c r="F309" s="4" t="str">
        <f>"09"</f>
        <v>09</v>
      </c>
      <c r="G309" s="4" t="s">
        <v>12</v>
      </c>
      <c r="H309" s="5">
        <v>0</v>
      </c>
      <c r="I309" s="6" t="s">
        <v>13</v>
      </c>
      <c r="J309" s="4">
        <f>SUMPRODUCT(--((A309=$A$3:$A$2785)*$H$3:$H$2785&gt;H309))+1</f>
        <v>24</v>
      </c>
    </row>
    <row r="310" s="1" customFormat="true" customHeight="true" spans="1:10">
      <c r="A310" s="4" t="str">
        <f t="shared" si="42"/>
        <v>010</v>
      </c>
      <c r="B310" s="4" t="s">
        <v>21</v>
      </c>
      <c r="C310" s="4" t="str">
        <f>"覃广波"</f>
        <v>覃广波</v>
      </c>
      <c r="D310" s="4" t="str">
        <f>"2021012410"</f>
        <v>2021012410</v>
      </c>
      <c r="E310" s="4" t="str">
        <f t="shared" si="49"/>
        <v>24</v>
      </c>
      <c r="F310" s="4" t="str">
        <f>"10"</f>
        <v>10</v>
      </c>
      <c r="G310" s="4" t="s">
        <v>12</v>
      </c>
      <c r="H310" s="5">
        <v>0</v>
      </c>
      <c r="I310" s="6" t="s">
        <v>13</v>
      </c>
      <c r="J310" s="4">
        <f>SUMPRODUCT(--((A310=$A$3:$A$2785)*$H$3:$H$2785&gt;H310))+1</f>
        <v>24</v>
      </c>
    </row>
    <row r="311" s="1" customFormat="true" customHeight="true" spans="1:10">
      <c r="A311" s="4" t="str">
        <f t="shared" si="42"/>
        <v>010</v>
      </c>
      <c r="B311" s="4" t="s">
        <v>21</v>
      </c>
      <c r="C311" s="4" t="str">
        <f>"阳伟娟"</f>
        <v>阳伟娟</v>
      </c>
      <c r="D311" s="4" t="str">
        <f>"2021012412"</f>
        <v>2021012412</v>
      </c>
      <c r="E311" s="4" t="str">
        <f t="shared" si="49"/>
        <v>24</v>
      </c>
      <c r="F311" s="4" t="str">
        <f>"12"</f>
        <v>12</v>
      </c>
      <c r="G311" s="4" t="s">
        <v>12</v>
      </c>
      <c r="H311" s="5">
        <v>0</v>
      </c>
      <c r="I311" s="6" t="s">
        <v>13</v>
      </c>
      <c r="J311" s="4">
        <f>SUMPRODUCT(--((A311=$A$3:$A$2785)*$H$3:$H$2785&gt;H311))+1</f>
        <v>24</v>
      </c>
    </row>
    <row r="312" s="1" customFormat="true" customHeight="true" spans="1:10">
      <c r="A312" s="4" t="str">
        <f t="shared" si="42"/>
        <v>010</v>
      </c>
      <c r="B312" s="4" t="s">
        <v>21</v>
      </c>
      <c r="C312" s="4" t="str">
        <f>"伍荟如"</f>
        <v>伍荟如</v>
      </c>
      <c r="D312" s="4" t="str">
        <f>"2021012413"</f>
        <v>2021012413</v>
      </c>
      <c r="E312" s="4" t="str">
        <f t="shared" si="49"/>
        <v>24</v>
      </c>
      <c r="F312" s="4" t="str">
        <f>"13"</f>
        <v>13</v>
      </c>
      <c r="G312" s="4" t="s">
        <v>12</v>
      </c>
      <c r="H312" s="5">
        <v>0</v>
      </c>
      <c r="I312" s="6" t="s">
        <v>13</v>
      </c>
      <c r="J312" s="4">
        <f>SUMPRODUCT(--((A312=$A$3:$A$2785)*$H$3:$H$2785&gt;H312))+1</f>
        <v>24</v>
      </c>
    </row>
    <row r="313" s="1" customFormat="true" customHeight="true" spans="1:10">
      <c r="A313" s="4" t="str">
        <f t="shared" si="42"/>
        <v>010</v>
      </c>
      <c r="B313" s="4" t="s">
        <v>21</v>
      </c>
      <c r="C313" s="4" t="str">
        <f>"何芬"</f>
        <v>何芬</v>
      </c>
      <c r="D313" s="4" t="str">
        <f>"2021012414"</f>
        <v>2021012414</v>
      </c>
      <c r="E313" s="4" t="str">
        <f t="shared" si="49"/>
        <v>24</v>
      </c>
      <c r="F313" s="4" t="str">
        <f>"14"</f>
        <v>14</v>
      </c>
      <c r="G313" s="4" t="s">
        <v>12</v>
      </c>
      <c r="H313" s="5">
        <v>0</v>
      </c>
      <c r="I313" s="6" t="s">
        <v>13</v>
      </c>
      <c r="J313" s="4">
        <f>SUMPRODUCT(--((A313=$A$3:$A$2785)*$H$3:$H$2785&gt;H313))+1</f>
        <v>24</v>
      </c>
    </row>
    <row r="314" s="1" customFormat="true" customHeight="true" spans="1:10">
      <c r="A314" s="4" t="str">
        <f t="shared" si="42"/>
        <v>010</v>
      </c>
      <c r="B314" s="4" t="s">
        <v>21</v>
      </c>
      <c r="C314" s="4" t="str">
        <f>"张志利"</f>
        <v>张志利</v>
      </c>
      <c r="D314" s="4" t="str">
        <f>"2021012415"</f>
        <v>2021012415</v>
      </c>
      <c r="E314" s="4" t="str">
        <f t="shared" si="49"/>
        <v>24</v>
      </c>
      <c r="F314" s="4" t="str">
        <f>"15"</f>
        <v>15</v>
      </c>
      <c r="G314" s="4" t="s">
        <v>12</v>
      </c>
      <c r="H314" s="5">
        <v>0</v>
      </c>
      <c r="I314" s="6" t="s">
        <v>13</v>
      </c>
      <c r="J314" s="4">
        <f>SUMPRODUCT(--((A314=$A$3:$A$2785)*$H$3:$H$2785&gt;H314))+1</f>
        <v>24</v>
      </c>
    </row>
    <row r="315" s="1" customFormat="true" customHeight="true" spans="1:10">
      <c r="A315" s="4" t="str">
        <f t="shared" si="42"/>
        <v>010</v>
      </c>
      <c r="B315" s="4" t="s">
        <v>21</v>
      </c>
      <c r="C315" s="4" t="str">
        <f>"唐则灵"</f>
        <v>唐则灵</v>
      </c>
      <c r="D315" s="4" t="str">
        <f>"2021012416"</f>
        <v>2021012416</v>
      </c>
      <c r="E315" s="4" t="str">
        <f t="shared" si="49"/>
        <v>24</v>
      </c>
      <c r="F315" s="4" t="str">
        <f>"16"</f>
        <v>16</v>
      </c>
      <c r="G315" s="4" t="s">
        <v>12</v>
      </c>
      <c r="H315" s="5">
        <v>0</v>
      </c>
      <c r="I315" s="6" t="s">
        <v>13</v>
      </c>
      <c r="J315" s="4">
        <f>SUMPRODUCT(--((A315=$A$3:$A$2785)*$H$3:$H$2785&gt;H315))+1</f>
        <v>24</v>
      </c>
    </row>
    <row r="316" s="1" customFormat="true" customHeight="true" spans="1:10">
      <c r="A316" s="4" t="str">
        <f t="shared" si="42"/>
        <v>010</v>
      </c>
      <c r="B316" s="4" t="s">
        <v>21</v>
      </c>
      <c r="C316" s="4" t="str">
        <f>"梁楠"</f>
        <v>梁楠</v>
      </c>
      <c r="D316" s="4" t="str">
        <f>"2021012417"</f>
        <v>2021012417</v>
      </c>
      <c r="E316" s="4" t="str">
        <f t="shared" si="49"/>
        <v>24</v>
      </c>
      <c r="F316" s="4" t="str">
        <f>"17"</f>
        <v>17</v>
      </c>
      <c r="G316" s="4" t="s">
        <v>12</v>
      </c>
      <c r="H316" s="5">
        <v>0</v>
      </c>
      <c r="I316" s="6" t="s">
        <v>13</v>
      </c>
      <c r="J316" s="4">
        <f>SUMPRODUCT(--((A316=$A$3:$A$2785)*$H$3:$H$2785&gt;H316))+1</f>
        <v>24</v>
      </c>
    </row>
    <row r="317" s="1" customFormat="true" customHeight="true" spans="1:10">
      <c r="A317" s="4" t="str">
        <f t="shared" si="42"/>
        <v>010</v>
      </c>
      <c r="B317" s="4" t="s">
        <v>21</v>
      </c>
      <c r="C317" s="4" t="str">
        <f>"李宏荣"</f>
        <v>李宏荣</v>
      </c>
      <c r="D317" s="4" t="str">
        <f>"2021012420"</f>
        <v>2021012420</v>
      </c>
      <c r="E317" s="4" t="str">
        <f t="shared" si="49"/>
        <v>24</v>
      </c>
      <c r="F317" s="4" t="str">
        <f>"20"</f>
        <v>20</v>
      </c>
      <c r="G317" s="4" t="s">
        <v>12</v>
      </c>
      <c r="H317" s="5">
        <v>0</v>
      </c>
      <c r="I317" s="6" t="s">
        <v>13</v>
      </c>
      <c r="J317" s="4">
        <f>SUMPRODUCT(--((A317=$A$3:$A$2785)*$H$3:$H$2785&gt;H317))+1</f>
        <v>24</v>
      </c>
    </row>
    <row r="318" s="1" customFormat="true" customHeight="true" spans="1:10">
      <c r="A318" s="4" t="str">
        <f t="shared" si="42"/>
        <v>010</v>
      </c>
      <c r="B318" s="4" t="s">
        <v>21</v>
      </c>
      <c r="C318" s="4" t="str">
        <f>"贺诗洁"</f>
        <v>贺诗洁</v>
      </c>
      <c r="D318" s="4" t="str">
        <f>"2021012421"</f>
        <v>2021012421</v>
      </c>
      <c r="E318" s="4" t="str">
        <f t="shared" si="49"/>
        <v>24</v>
      </c>
      <c r="F318" s="4" t="str">
        <f>"21"</f>
        <v>21</v>
      </c>
      <c r="G318" s="4" t="s">
        <v>12</v>
      </c>
      <c r="H318" s="5">
        <v>0</v>
      </c>
      <c r="I318" s="6" t="s">
        <v>13</v>
      </c>
      <c r="J318" s="4">
        <f>SUMPRODUCT(--((A318=$A$3:$A$2785)*$H$3:$H$2785&gt;H318))+1</f>
        <v>24</v>
      </c>
    </row>
    <row r="319" s="1" customFormat="true" customHeight="true" spans="1:10">
      <c r="A319" s="4" t="str">
        <f t="shared" si="42"/>
        <v>010</v>
      </c>
      <c r="B319" s="4" t="s">
        <v>21</v>
      </c>
      <c r="C319" s="4" t="str">
        <f>"李君涛"</f>
        <v>李君涛</v>
      </c>
      <c r="D319" s="4" t="str">
        <f>"2021012425"</f>
        <v>2021012425</v>
      </c>
      <c r="E319" s="4" t="str">
        <f t="shared" si="49"/>
        <v>24</v>
      </c>
      <c r="F319" s="4" t="str">
        <f>"25"</f>
        <v>25</v>
      </c>
      <c r="G319" s="4" t="s">
        <v>12</v>
      </c>
      <c r="H319" s="5">
        <v>0</v>
      </c>
      <c r="I319" s="6" t="s">
        <v>13</v>
      </c>
      <c r="J319" s="4">
        <f>SUMPRODUCT(--((A319=$A$3:$A$2785)*$H$3:$H$2785&gt;H319))+1</f>
        <v>24</v>
      </c>
    </row>
    <row r="320" s="1" customFormat="true" customHeight="true" spans="1:10">
      <c r="A320" s="4" t="str">
        <f t="shared" si="42"/>
        <v>010</v>
      </c>
      <c r="B320" s="4" t="s">
        <v>21</v>
      </c>
      <c r="C320" s="4" t="str">
        <f>"舒勇清"</f>
        <v>舒勇清</v>
      </c>
      <c r="D320" s="4" t="str">
        <f>"2021012428"</f>
        <v>2021012428</v>
      </c>
      <c r="E320" s="4" t="str">
        <f t="shared" si="49"/>
        <v>24</v>
      </c>
      <c r="F320" s="4" t="str">
        <f>"28"</f>
        <v>28</v>
      </c>
      <c r="G320" s="4" t="s">
        <v>12</v>
      </c>
      <c r="H320" s="5">
        <v>0</v>
      </c>
      <c r="I320" s="6" t="s">
        <v>13</v>
      </c>
      <c r="J320" s="4">
        <f>SUMPRODUCT(--((A320=$A$3:$A$2785)*$H$3:$H$2785&gt;H320))+1</f>
        <v>24</v>
      </c>
    </row>
    <row r="321" s="1" customFormat="true" customHeight="true" spans="1:10">
      <c r="A321" s="4" t="str">
        <f t="shared" si="42"/>
        <v>010</v>
      </c>
      <c r="B321" s="4" t="s">
        <v>21</v>
      </c>
      <c r="C321" s="4" t="str">
        <f>"张欣悦"</f>
        <v>张欣悦</v>
      </c>
      <c r="D321" s="4" t="str">
        <f>"2021012430"</f>
        <v>2021012430</v>
      </c>
      <c r="E321" s="4" t="str">
        <f t="shared" si="49"/>
        <v>24</v>
      </c>
      <c r="F321" s="4" t="str">
        <f>"30"</f>
        <v>30</v>
      </c>
      <c r="G321" s="4" t="s">
        <v>12</v>
      </c>
      <c r="H321" s="5">
        <v>0</v>
      </c>
      <c r="I321" s="6" t="s">
        <v>13</v>
      </c>
      <c r="J321" s="4">
        <f>SUMPRODUCT(--((A321=$A$3:$A$2785)*$H$3:$H$2785&gt;H321))+1</f>
        <v>24</v>
      </c>
    </row>
    <row r="322" s="1" customFormat="true" customHeight="true" spans="1:10">
      <c r="A322" s="4" t="str">
        <f t="shared" si="42"/>
        <v>010</v>
      </c>
      <c r="B322" s="4" t="s">
        <v>21</v>
      </c>
      <c r="C322" s="4" t="str">
        <f>"倪震"</f>
        <v>倪震</v>
      </c>
      <c r="D322" s="4" t="str">
        <f>"2021012501"</f>
        <v>2021012501</v>
      </c>
      <c r="E322" s="4" t="str">
        <f t="shared" ref="E322:E333" si="50">"25"</f>
        <v>25</v>
      </c>
      <c r="F322" s="4" t="str">
        <f>"01"</f>
        <v>01</v>
      </c>
      <c r="G322" s="4" t="s">
        <v>12</v>
      </c>
      <c r="H322" s="5">
        <v>0</v>
      </c>
      <c r="I322" s="6" t="s">
        <v>13</v>
      </c>
      <c r="J322" s="4">
        <f>SUMPRODUCT(--((A322=$A$3:$A$2785)*$H$3:$H$2785&gt;H322))+1</f>
        <v>24</v>
      </c>
    </row>
    <row r="323" s="1" customFormat="true" customHeight="true" spans="1:10">
      <c r="A323" s="4" t="str">
        <f t="shared" si="42"/>
        <v>010</v>
      </c>
      <c r="B323" s="4" t="s">
        <v>21</v>
      </c>
      <c r="C323" s="4" t="str">
        <f>"向毓"</f>
        <v>向毓</v>
      </c>
      <c r="D323" s="4" t="str">
        <f>"2021012502"</f>
        <v>2021012502</v>
      </c>
      <c r="E323" s="4" t="str">
        <f t="shared" si="50"/>
        <v>25</v>
      </c>
      <c r="F323" s="4" t="str">
        <f>"02"</f>
        <v>02</v>
      </c>
      <c r="G323" s="4" t="s">
        <v>12</v>
      </c>
      <c r="H323" s="5">
        <v>0</v>
      </c>
      <c r="I323" s="6" t="s">
        <v>13</v>
      </c>
      <c r="J323" s="4">
        <f>SUMPRODUCT(--((A323=$A$3:$A$2785)*$H$3:$H$2785&gt;H323))+1</f>
        <v>24</v>
      </c>
    </row>
    <row r="324" s="1" customFormat="true" customHeight="true" spans="1:10">
      <c r="A324" s="4" t="str">
        <f t="shared" si="42"/>
        <v>010</v>
      </c>
      <c r="B324" s="4" t="s">
        <v>21</v>
      </c>
      <c r="C324" s="4" t="str">
        <f>"向婷"</f>
        <v>向婷</v>
      </c>
      <c r="D324" s="4" t="str">
        <f>"2021012504"</f>
        <v>2021012504</v>
      </c>
      <c r="E324" s="4" t="str">
        <f t="shared" si="50"/>
        <v>25</v>
      </c>
      <c r="F324" s="4" t="str">
        <f>"04"</f>
        <v>04</v>
      </c>
      <c r="G324" s="4" t="s">
        <v>12</v>
      </c>
      <c r="H324" s="5">
        <v>0</v>
      </c>
      <c r="I324" s="6" t="s">
        <v>13</v>
      </c>
      <c r="J324" s="4">
        <f>SUMPRODUCT(--((A324=$A$3:$A$2785)*$H$3:$H$2785&gt;H324))+1</f>
        <v>24</v>
      </c>
    </row>
    <row r="325" s="1" customFormat="true" customHeight="true" spans="1:10">
      <c r="A325" s="4" t="str">
        <f t="shared" si="42"/>
        <v>010</v>
      </c>
      <c r="B325" s="4" t="s">
        <v>21</v>
      </c>
      <c r="C325" s="4" t="str">
        <f>"张艳芳"</f>
        <v>张艳芳</v>
      </c>
      <c r="D325" s="4" t="str">
        <f>"2021012505"</f>
        <v>2021012505</v>
      </c>
      <c r="E325" s="4" t="str">
        <f t="shared" si="50"/>
        <v>25</v>
      </c>
      <c r="F325" s="4" t="str">
        <f>"05"</f>
        <v>05</v>
      </c>
      <c r="G325" s="4" t="s">
        <v>12</v>
      </c>
      <c r="H325" s="5">
        <v>0</v>
      </c>
      <c r="I325" s="6" t="s">
        <v>13</v>
      </c>
      <c r="J325" s="4">
        <f>SUMPRODUCT(--((A325=$A$3:$A$2785)*$H$3:$H$2785&gt;H325))+1</f>
        <v>24</v>
      </c>
    </row>
    <row r="326" s="1" customFormat="true" customHeight="true" spans="1:10">
      <c r="A326" s="4" t="str">
        <f t="shared" si="42"/>
        <v>010</v>
      </c>
      <c r="B326" s="4" t="s">
        <v>21</v>
      </c>
      <c r="C326" s="4" t="str">
        <f>"尹湘灵"</f>
        <v>尹湘灵</v>
      </c>
      <c r="D326" s="4" t="str">
        <f>"2021012507"</f>
        <v>2021012507</v>
      </c>
      <c r="E326" s="4" t="str">
        <f t="shared" si="50"/>
        <v>25</v>
      </c>
      <c r="F326" s="4" t="str">
        <f>"07"</f>
        <v>07</v>
      </c>
      <c r="G326" s="4" t="s">
        <v>12</v>
      </c>
      <c r="H326" s="5">
        <v>0</v>
      </c>
      <c r="I326" s="6" t="s">
        <v>13</v>
      </c>
      <c r="J326" s="4">
        <f>SUMPRODUCT(--((A326=$A$3:$A$2785)*$H$3:$H$2785&gt;H326))+1</f>
        <v>24</v>
      </c>
    </row>
    <row r="327" s="1" customFormat="true" customHeight="true" spans="1:10">
      <c r="A327" s="4" t="str">
        <f t="shared" si="42"/>
        <v>010</v>
      </c>
      <c r="B327" s="4" t="s">
        <v>21</v>
      </c>
      <c r="C327" s="4" t="str">
        <f>"张国超"</f>
        <v>张国超</v>
      </c>
      <c r="D327" s="4" t="str">
        <f>"2021012509"</f>
        <v>2021012509</v>
      </c>
      <c r="E327" s="4" t="str">
        <f t="shared" si="50"/>
        <v>25</v>
      </c>
      <c r="F327" s="4" t="str">
        <f>"09"</f>
        <v>09</v>
      </c>
      <c r="G327" s="4" t="s">
        <v>12</v>
      </c>
      <c r="H327" s="5">
        <v>0</v>
      </c>
      <c r="I327" s="6" t="s">
        <v>13</v>
      </c>
      <c r="J327" s="4">
        <f>SUMPRODUCT(--((A327=$A$3:$A$2785)*$H$3:$H$2785&gt;H327))+1</f>
        <v>24</v>
      </c>
    </row>
    <row r="328" s="1" customFormat="true" customHeight="true" spans="1:10">
      <c r="A328" s="4" t="str">
        <f t="shared" si="42"/>
        <v>010</v>
      </c>
      <c r="B328" s="4" t="s">
        <v>21</v>
      </c>
      <c r="C328" s="4" t="str">
        <f>"张玉洁"</f>
        <v>张玉洁</v>
      </c>
      <c r="D328" s="4" t="str">
        <f>"2021012511"</f>
        <v>2021012511</v>
      </c>
      <c r="E328" s="4" t="str">
        <f t="shared" si="50"/>
        <v>25</v>
      </c>
      <c r="F328" s="4" t="str">
        <f>"11"</f>
        <v>11</v>
      </c>
      <c r="G328" s="4" t="s">
        <v>12</v>
      </c>
      <c r="H328" s="5">
        <v>0</v>
      </c>
      <c r="I328" s="6" t="s">
        <v>13</v>
      </c>
      <c r="J328" s="4">
        <f>SUMPRODUCT(--((A328=$A$3:$A$2785)*$H$3:$H$2785&gt;H328))+1</f>
        <v>24</v>
      </c>
    </row>
    <row r="329" s="1" customFormat="true" customHeight="true" spans="1:10">
      <c r="A329" s="4" t="str">
        <f t="shared" si="42"/>
        <v>010</v>
      </c>
      <c r="B329" s="4" t="s">
        <v>21</v>
      </c>
      <c r="C329" s="4" t="str">
        <f>"莫忠露"</f>
        <v>莫忠露</v>
      </c>
      <c r="D329" s="4" t="str">
        <f>"2021012512"</f>
        <v>2021012512</v>
      </c>
      <c r="E329" s="4" t="str">
        <f t="shared" si="50"/>
        <v>25</v>
      </c>
      <c r="F329" s="4" t="str">
        <f>"12"</f>
        <v>12</v>
      </c>
      <c r="G329" s="4" t="s">
        <v>12</v>
      </c>
      <c r="H329" s="5">
        <v>0</v>
      </c>
      <c r="I329" s="6" t="s">
        <v>13</v>
      </c>
      <c r="J329" s="4">
        <f>SUMPRODUCT(--((A329=$A$3:$A$2785)*$H$3:$H$2785&gt;H329))+1</f>
        <v>24</v>
      </c>
    </row>
    <row r="330" s="1" customFormat="true" customHeight="true" spans="1:10">
      <c r="A330" s="4" t="str">
        <f t="shared" si="42"/>
        <v>010</v>
      </c>
      <c r="B330" s="4" t="s">
        <v>21</v>
      </c>
      <c r="C330" s="4" t="str">
        <f>"龙蝶"</f>
        <v>龙蝶</v>
      </c>
      <c r="D330" s="4" t="str">
        <f>"2021012513"</f>
        <v>2021012513</v>
      </c>
      <c r="E330" s="4" t="str">
        <f t="shared" si="50"/>
        <v>25</v>
      </c>
      <c r="F330" s="4" t="str">
        <f>"13"</f>
        <v>13</v>
      </c>
      <c r="G330" s="4" t="s">
        <v>12</v>
      </c>
      <c r="H330" s="5">
        <v>0</v>
      </c>
      <c r="I330" s="6" t="s">
        <v>13</v>
      </c>
      <c r="J330" s="4">
        <f>SUMPRODUCT(--((A330=$A$3:$A$2785)*$H$3:$H$2785&gt;H330))+1</f>
        <v>24</v>
      </c>
    </row>
    <row r="331" s="1" customFormat="true" customHeight="true" spans="1:10">
      <c r="A331" s="4" t="str">
        <f t="shared" si="42"/>
        <v>010</v>
      </c>
      <c r="B331" s="4" t="s">
        <v>21</v>
      </c>
      <c r="C331" s="4" t="str">
        <f>"杨铠蔚"</f>
        <v>杨铠蔚</v>
      </c>
      <c r="D331" s="4" t="str">
        <f>"2021012514"</f>
        <v>2021012514</v>
      </c>
      <c r="E331" s="4" t="str">
        <f t="shared" si="50"/>
        <v>25</v>
      </c>
      <c r="F331" s="4" t="str">
        <f>"14"</f>
        <v>14</v>
      </c>
      <c r="G331" s="4" t="s">
        <v>12</v>
      </c>
      <c r="H331" s="5">
        <v>0</v>
      </c>
      <c r="I331" s="6" t="s">
        <v>13</v>
      </c>
      <c r="J331" s="4">
        <f>SUMPRODUCT(--((A331=$A$3:$A$2785)*$H$3:$H$2785&gt;H331))+1</f>
        <v>24</v>
      </c>
    </row>
    <row r="332" s="1" customFormat="true" customHeight="true" spans="1:10">
      <c r="A332" s="4" t="str">
        <f t="shared" si="42"/>
        <v>010</v>
      </c>
      <c r="B332" s="4" t="s">
        <v>21</v>
      </c>
      <c r="C332" s="4" t="str">
        <f>"张银杉"</f>
        <v>张银杉</v>
      </c>
      <c r="D332" s="4" t="str">
        <f>"2021012516"</f>
        <v>2021012516</v>
      </c>
      <c r="E332" s="4" t="str">
        <f t="shared" si="50"/>
        <v>25</v>
      </c>
      <c r="F332" s="4" t="str">
        <f>"16"</f>
        <v>16</v>
      </c>
      <c r="G332" s="4" t="s">
        <v>12</v>
      </c>
      <c r="H332" s="5">
        <v>0</v>
      </c>
      <c r="I332" s="6" t="s">
        <v>13</v>
      </c>
      <c r="J332" s="4">
        <f>SUMPRODUCT(--((A332=$A$3:$A$2785)*$H$3:$H$2785&gt;H332))+1</f>
        <v>24</v>
      </c>
    </row>
    <row r="333" s="1" customFormat="true" customHeight="true" spans="1:10">
      <c r="A333" s="4" t="str">
        <f t="shared" si="42"/>
        <v>010</v>
      </c>
      <c r="B333" s="4" t="s">
        <v>21</v>
      </c>
      <c r="C333" s="4" t="str">
        <f>"刘姿麟"</f>
        <v>刘姿麟</v>
      </c>
      <c r="D333" s="4" t="str">
        <f>"2021012517"</f>
        <v>2021012517</v>
      </c>
      <c r="E333" s="4" t="str">
        <f t="shared" si="50"/>
        <v>25</v>
      </c>
      <c r="F333" s="4" t="str">
        <f>"17"</f>
        <v>17</v>
      </c>
      <c r="G333" s="4" t="s">
        <v>12</v>
      </c>
      <c r="H333" s="5">
        <v>0</v>
      </c>
      <c r="I333" s="6" t="s">
        <v>13</v>
      </c>
      <c r="J333" s="4">
        <f>SUMPRODUCT(--((A333=$A$3:$A$2785)*$H$3:$H$2785&gt;H333))+1</f>
        <v>24</v>
      </c>
    </row>
    <row r="334" s="1" customFormat="true" customHeight="true" spans="1:10">
      <c r="A334" s="4" t="str">
        <f t="shared" ref="A334:A397" si="51">"011"</f>
        <v>011</v>
      </c>
      <c r="B334" s="4" t="s">
        <v>22</v>
      </c>
      <c r="C334" s="4" t="str">
        <f>"唐静怡"</f>
        <v>唐静怡</v>
      </c>
      <c r="D334" s="4" t="str">
        <f>"2021014005"</f>
        <v>2021014005</v>
      </c>
      <c r="E334" s="4" t="str">
        <f>"40"</f>
        <v>40</v>
      </c>
      <c r="F334" s="4" t="str">
        <f>"05"</f>
        <v>05</v>
      </c>
      <c r="G334" s="4" t="s">
        <v>12</v>
      </c>
      <c r="H334" s="5">
        <v>87</v>
      </c>
      <c r="I334" s="4"/>
      <c r="J334" s="4">
        <f>SUMPRODUCT(--((A334=$A$3:$A$2785)*$H$3:$H$2785&gt;H334))+1</f>
        <v>1</v>
      </c>
    </row>
    <row r="335" s="1" customFormat="true" customHeight="true" spans="1:10">
      <c r="A335" s="4" t="str">
        <f t="shared" si="51"/>
        <v>011</v>
      </c>
      <c r="B335" s="4" t="s">
        <v>22</v>
      </c>
      <c r="C335" s="4" t="str">
        <f>"张晓青"</f>
        <v>张晓青</v>
      </c>
      <c r="D335" s="4" t="str">
        <f>"2021013623"</f>
        <v>2021013623</v>
      </c>
      <c r="E335" s="4" t="str">
        <f>"36"</f>
        <v>36</v>
      </c>
      <c r="F335" s="4" t="str">
        <f>"23"</f>
        <v>23</v>
      </c>
      <c r="G335" s="4" t="s">
        <v>12</v>
      </c>
      <c r="H335" s="5">
        <v>86.75</v>
      </c>
      <c r="I335" s="4"/>
      <c r="J335" s="4">
        <f>SUMPRODUCT(--((A335=$A$3:$A$2785)*$H$3:$H$2785&gt;H335))+1</f>
        <v>2</v>
      </c>
    </row>
    <row r="336" s="1" customFormat="true" customHeight="true" spans="1:10">
      <c r="A336" s="4" t="str">
        <f t="shared" si="51"/>
        <v>011</v>
      </c>
      <c r="B336" s="4" t="s">
        <v>22</v>
      </c>
      <c r="C336" s="4" t="str">
        <f>"滕瑛"</f>
        <v>滕瑛</v>
      </c>
      <c r="D336" s="4" t="str">
        <f>"2021013823"</f>
        <v>2021013823</v>
      </c>
      <c r="E336" s="4" t="str">
        <f>"38"</f>
        <v>38</v>
      </c>
      <c r="F336" s="4" t="str">
        <f>"23"</f>
        <v>23</v>
      </c>
      <c r="G336" s="4" t="s">
        <v>12</v>
      </c>
      <c r="H336" s="5">
        <v>86</v>
      </c>
      <c r="I336" s="4"/>
      <c r="J336" s="4">
        <f>SUMPRODUCT(--((A336=$A$3:$A$2785)*$H$3:$H$2785&gt;H336))+1</f>
        <v>3</v>
      </c>
    </row>
    <row r="337" s="1" customFormat="true" customHeight="true" spans="1:10">
      <c r="A337" s="4" t="str">
        <f t="shared" si="51"/>
        <v>011</v>
      </c>
      <c r="B337" s="4" t="s">
        <v>22</v>
      </c>
      <c r="C337" s="4" t="str">
        <f>"游玉梅"</f>
        <v>游玉梅</v>
      </c>
      <c r="D337" s="4" t="str">
        <f>"2021014118"</f>
        <v>2021014118</v>
      </c>
      <c r="E337" s="4" t="str">
        <f>"41"</f>
        <v>41</v>
      </c>
      <c r="F337" s="4" t="str">
        <f>"18"</f>
        <v>18</v>
      </c>
      <c r="G337" s="4" t="s">
        <v>12</v>
      </c>
      <c r="H337" s="5">
        <v>85.75</v>
      </c>
      <c r="I337" s="4"/>
      <c r="J337" s="4">
        <f>SUMPRODUCT(--((A337=$A$3:$A$2785)*$H$3:$H$2785&gt;H337))+1</f>
        <v>4</v>
      </c>
    </row>
    <row r="338" s="1" customFormat="true" customHeight="true" spans="1:10">
      <c r="A338" s="4" t="str">
        <f t="shared" si="51"/>
        <v>011</v>
      </c>
      <c r="B338" s="4" t="s">
        <v>22</v>
      </c>
      <c r="C338" s="4" t="str">
        <f>"韩雪琪"</f>
        <v>韩雪琪</v>
      </c>
      <c r="D338" s="4" t="str">
        <f>"2021014121"</f>
        <v>2021014121</v>
      </c>
      <c r="E338" s="4" t="str">
        <f>"41"</f>
        <v>41</v>
      </c>
      <c r="F338" s="4" t="str">
        <f>"21"</f>
        <v>21</v>
      </c>
      <c r="G338" s="4" t="s">
        <v>12</v>
      </c>
      <c r="H338" s="5">
        <v>85.25</v>
      </c>
      <c r="I338" s="4"/>
      <c r="J338" s="4">
        <f>SUMPRODUCT(--((A338=$A$3:$A$2785)*$H$3:$H$2785&gt;H338))+1</f>
        <v>5</v>
      </c>
    </row>
    <row r="339" s="1" customFormat="true" customHeight="true" spans="1:10">
      <c r="A339" s="4" t="str">
        <f t="shared" si="51"/>
        <v>011</v>
      </c>
      <c r="B339" s="4" t="s">
        <v>22</v>
      </c>
      <c r="C339" s="4" t="str">
        <f>"胡利利"</f>
        <v>胡利利</v>
      </c>
      <c r="D339" s="4" t="str">
        <f>"2021013930"</f>
        <v>2021013930</v>
      </c>
      <c r="E339" s="4" t="str">
        <f>"39"</f>
        <v>39</v>
      </c>
      <c r="F339" s="4" t="str">
        <f>"30"</f>
        <v>30</v>
      </c>
      <c r="G339" s="4" t="s">
        <v>12</v>
      </c>
      <c r="H339" s="5">
        <v>84.25</v>
      </c>
      <c r="I339" s="4"/>
      <c r="J339" s="4">
        <f>SUMPRODUCT(--((A339=$A$3:$A$2785)*$H$3:$H$2785&gt;H339))+1</f>
        <v>6</v>
      </c>
    </row>
    <row r="340" s="1" customFormat="true" customHeight="true" spans="1:10">
      <c r="A340" s="4" t="str">
        <f t="shared" si="51"/>
        <v>011</v>
      </c>
      <c r="B340" s="4" t="s">
        <v>22</v>
      </c>
      <c r="C340" s="4" t="str">
        <f>"杨莉莎"</f>
        <v>杨莉莎</v>
      </c>
      <c r="D340" s="4" t="str">
        <f>"2021014022"</f>
        <v>2021014022</v>
      </c>
      <c r="E340" s="4" t="str">
        <f>"40"</f>
        <v>40</v>
      </c>
      <c r="F340" s="4" t="str">
        <f>"22"</f>
        <v>22</v>
      </c>
      <c r="G340" s="4" t="s">
        <v>12</v>
      </c>
      <c r="H340" s="5">
        <v>84.25</v>
      </c>
      <c r="I340" s="4"/>
      <c r="J340" s="4">
        <f>SUMPRODUCT(--((A340=$A$3:$A$2785)*$H$3:$H$2785&gt;H340))+1</f>
        <v>6</v>
      </c>
    </row>
    <row r="341" s="1" customFormat="true" customHeight="true" spans="1:10">
      <c r="A341" s="4" t="str">
        <f t="shared" si="51"/>
        <v>011</v>
      </c>
      <c r="B341" s="4" t="s">
        <v>22</v>
      </c>
      <c r="C341" s="4" t="str">
        <f>"邓滢"</f>
        <v>邓滢</v>
      </c>
      <c r="D341" s="4" t="str">
        <f>"2021013625"</f>
        <v>2021013625</v>
      </c>
      <c r="E341" s="4" t="str">
        <f>"36"</f>
        <v>36</v>
      </c>
      <c r="F341" s="4" t="str">
        <f>"25"</f>
        <v>25</v>
      </c>
      <c r="G341" s="4" t="s">
        <v>12</v>
      </c>
      <c r="H341" s="5">
        <v>84</v>
      </c>
      <c r="I341" s="4"/>
      <c r="J341" s="4">
        <f>SUMPRODUCT(--((A341=$A$3:$A$2785)*$H$3:$H$2785&gt;H341))+1</f>
        <v>8</v>
      </c>
    </row>
    <row r="342" s="1" customFormat="true" customHeight="true" spans="1:10">
      <c r="A342" s="4" t="str">
        <f t="shared" si="51"/>
        <v>011</v>
      </c>
      <c r="B342" s="4" t="s">
        <v>22</v>
      </c>
      <c r="C342" s="4" t="str">
        <f>"吴腊艳"</f>
        <v>吴腊艳</v>
      </c>
      <c r="D342" s="4" t="str">
        <f>"2021013719"</f>
        <v>2021013719</v>
      </c>
      <c r="E342" s="4" t="str">
        <f>"37"</f>
        <v>37</v>
      </c>
      <c r="F342" s="4" t="str">
        <f>"19"</f>
        <v>19</v>
      </c>
      <c r="G342" s="4" t="s">
        <v>12</v>
      </c>
      <c r="H342" s="5">
        <v>83.5</v>
      </c>
      <c r="I342" s="4"/>
      <c r="J342" s="4">
        <f>SUMPRODUCT(--((A342=$A$3:$A$2785)*$H$3:$H$2785&gt;H342))+1</f>
        <v>9</v>
      </c>
    </row>
    <row r="343" s="1" customFormat="true" customHeight="true" spans="1:10">
      <c r="A343" s="4" t="str">
        <f t="shared" si="51"/>
        <v>011</v>
      </c>
      <c r="B343" s="4" t="s">
        <v>22</v>
      </c>
      <c r="C343" s="4" t="str">
        <f>"杨颜菲"</f>
        <v>杨颜菲</v>
      </c>
      <c r="D343" s="4" t="str">
        <f>"2021013606"</f>
        <v>2021013606</v>
      </c>
      <c r="E343" s="4" t="str">
        <f>"36"</f>
        <v>36</v>
      </c>
      <c r="F343" s="4" t="str">
        <f>"06"</f>
        <v>06</v>
      </c>
      <c r="G343" s="4" t="s">
        <v>12</v>
      </c>
      <c r="H343" s="5">
        <v>83.25</v>
      </c>
      <c r="I343" s="4"/>
      <c r="J343" s="4">
        <f>SUMPRODUCT(--((A343=$A$3:$A$2785)*$H$3:$H$2785&gt;H343))+1</f>
        <v>10</v>
      </c>
    </row>
    <row r="344" s="1" customFormat="true" customHeight="true" spans="1:10">
      <c r="A344" s="4" t="str">
        <f t="shared" si="51"/>
        <v>011</v>
      </c>
      <c r="B344" s="4" t="s">
        <v>22</v>
      </c>
      <c r="C344" s="4" t="str">
        <f>"张可欣"</f>
        <v>张可欣</v>
      </c>
      <c r="D344" s="4" t="str">
        <f>"2021013901"</f>
        <v>2021013901</v>
      </c>
      <c r="E344" s="4" t="str">
        <f t="shared" ref="E344:E346" si="52">"39"</f>
        <v>39</v>
      </c>
      <c r="F344" s="4" t="str">
        <f>"01"</f>
        <v>01</v>
      </c>
      <c r="G344" s="4" t="s">
        <v>12</v>
      </c>
      <c r="H344" s="5">
        <v>83.25</v>
      </c>
      <c r="I344" s="4"/>
      <c r="J344" s="4">
        <f>SUMPRODUCT(--((A344=$A$3:$A$2785)*$H$3:$H$2785&gt;H344))+1</f>
        <v>10</v>
      </c>
    </row>
    <row r="345" s="1" customFormat="true" customHeight="true" spans="1:10">
      <c r="A345" s="4" t="str">
        <f t="shared" si="51"/>
        <v>011</v>
      </c>
      <c r="B345" s="4" t="s">
        <v>22</v>
      </c>
      <c r="C345" s="4" t="str">
        <f>"伍剑锋"</f>
        <v>伍剑锋</v>
      </c>
      <c r="D345" s="4" t="str">
        <f>"2021013908"</f>
        <v>2021013908</v>
      </c>
      <c r="E345" s="4" t="str">
        <f t="shared" si="52"/>
        <v>39</v>
      </c>
      <c r="F345" s="4" t="str">
        <f>"08"</f>
        <v>08</v>
      </c>
      <c r="G345" s="4" t="s">
        <v>12</v>
      </c>
      <c r="H345" s="5">
        <v>83.25</v>
      </c>
      <c r="I345" s="4"/>
      <c r="J345" s="4">
        <f>SUMPRODUCT(--((A345=$A$3:$A$2785)*$H$3:$H$2785&gt;H345))+1</f>
        <v>10</v>
      </c>
    </row>
    <row r="346" s="1" customFormat="true" customHeight="true" spans="1:10">
      <c r="A346" s="4" t="str">
        <f t="shared" si="51"/>
        <v>011</v>
      </c>
      <c r="B346" s="4" t="s">
        <v>22</v>
      </c>
      <c r="C346" s="4" t="str">
        <f>"胡梦洋"</f>
        <v>胡梦洋</v>
      </c>
      <c r="D346" s="4" t="str">
        <f>"2021013910"</f>
        <v>2021013910</v>
      </c>
      <c r="E346" s="4" t="str">
        <f t="shared" si="52"/>
        <v>39</v>
      </c>
      <c r="F346" s="4" t="str">
        <f>"10"</f>
        <v>10</v>
      </c>
      <c r="G346" s="4" t="s">
        <v>12</v>
      </c>
      <c r="H346" s="5">
        <v>83.25</v>
      </c>
      <c r="I346" s="4"/>
      <c r="J346" s="4">
        <f>SUMPRODUCT(--((A346=$A$3:$A$2785)*$H$3:$H$2785&gt;H346))+1</f>
        <v>10</v>
      </c>
    </row>
    <row r="347" s="1" customFormat="true" customHeight="true" spans="1:10">
      <c r="A347" s="4" t="str">
        <f t="shared" si="51"/>
        <v>011</v>
      </c>
      <c r="B347" s="4" t="s">
        <v>22</v>
      </c>
      <c r="C347" s="4" t="str">
        <f>"蒋琴琴"</f>
        <v>蒋琴琴</v>
      </c>
      <c r="D347" s="4" t="str">
        <f>"2021014124"</f>
        <v>2021014124</v>
      </c>
      <c r="E347" s="4" t="str">
        <f t="shared" ref="E347:E350" si="53">"41"</f>
        <v>41</v>
      </c>
      <c r="F347" s="4" t="str">
        <f>"24"</f>
        <v>24</v>
      </c>
      <c r="G347" s="4" t="s">
        <v>12</v>
      </c>
      <c r="H347" s="5">
        <v>83.25</v>
      </c>
      <c r="I347" s="4"/>
      <c r="J347" s="4">
        <f>SUMPRODUCT(--((A347=$A$3:$A$2785)*$H$3:$H$2785&gt;H347))+1</f>
        <v>10</v>
      </c>
    </row>
    <row r="348" s="1" customFormat="true" customHeight="true" spans="1:10">
      <c r="A348" s="4" t="str">
        <f t="shared" si="51"/>
        <v>011</v>
      </c>
      <c r="B348" s="4" t="s">
        <v>22</v>
      </c>
      <c r="C348" s="4" t="str">
        <f>"曾方彦"</f>
        <v>曾方彦</v>
      </c>
      <c r="D348" s="4" t="str">
        <f>"2021013702"</f>
        <v>2021013702</v>
      </c>
      <c r="E348" s="4" t="str">
        <f>"37"</f>
        <v>37</v>
      </c>
      <c r="F348" s="4" t="str">
        <f>"02"</f>
        <v>02</v>
      </c>
      <c r="G348" s="4" t="s">
        <v>12</v>
      </c>
      <c r="H348" s="5">
        <v>83</v>
      </c>
      <c r="I348" s="4"/>
      <c r="J348" s="4">
        <f>SUMPRODUCT(--((A348=$A$3:$A$2785)*$H$3:$H$2785&gt;H348))+1</f>
        <v>15</v>
      </c>
    </row>
    <row r="349" s="1" customFormat="true" customHeight="true" spans="1:10">
      <c r="A349" s="4" t="str">
        <f t="shared" si="51"/>
        <v>011</v>
      </c>
      <c r="B349" s="4" t="s">
        <v>22</v>
      </c>
      <c r="C349" s="4" t="str">
        <f>"杨羚"</f>
        <v>杨羚</v>
      </c>
      <c r="D349" s="4" t="str">
        <f>"2021014116"</f>
        <v>2021014116</v>
      </c>
      <c r="E349" s="4" t="str">
        <f t="shared" si="53"/>
        <v>41</v>
      </c>
      <c r="F349" s="4" t="str">
        <f>"16"</f>
        <v>16</v>
      </c>
      <c r="G349" s="4" t="s">
        <v>12</v>
      </c>
      <c r="H349" s="5">
        <v>83</v>
      </c>
      <c r="I349" s="4"/>
      <c r="J349" s="4">
        <f>SUMPRODUCT(--((A349=$A$3:$A$2785)*$H$3:$H$2785&gt;H349))+1</f>
        <v>15</v>
      </c>
    </row>
    <row r="350" s="1" customFormat="true" customHeight="true" spans="1:10">
      <c r="A350" s="4" t="str">
        <f t="shared" si="51"/>
        <v>011</v>
      </c>
      <c r="B350" s="4" t="s">
        <v>22</v>
      </c>
      <c r="C350" s="4" t="str">
        <f>"张涵"</f>
        <v>张涵</v>
      </c>
      <c r="D350" s="4" t="str">
        <f>"2021014113"</f>
        <v>2021014113</v>
      </c>
      <c r="E350" s="4" t="str">
        <f t="shared" si="53"/>
        <v>41</v>
      </c>
      <c r="F350" s="4" t="str">
        <f>"13"</f>
        <v>13</v>
      </c>
      <c r="G350" s="4" t="s">
        <v>12</v>
      </c>
      <c r="H350" s="5">
        <v>82.75</v>
      </c>
      <c r="I350" s="4"/>
      <c r="J350" s="4">
        <f>SUMPRODUCT(--((A350=$A$3:$A$2785)*$H$3:$H$2785&gt;H350))+1</f>
        <v>17</v>
      </c>
    </row>
    <row r="351" s="1" customFormat="true" customHeight="true" spans="1:10">
      <c r="A351" s="4" t="str">
        <f t="shared" si="51"/>
        <v>011</v>
      </c>
      <c r="B351" s="4" t="s">
        <v>22</v>
      </c>
      <c r="C351" s="4" t="str">
        <f>"吕星霖"</f>
        <v>吕星霖</v>
      </c>
      <c r="D351" s="4" t="str">
        <f>"2021013829"</f>
        <v>2021013829</v>
      </c>
      <c r="E351" s="4" t="str">
        <f>"38"</f>
        <v>38</v>
      </c>
      <c r="F351" s="4" t="str">
        <f>"29"</f>
        <v>29</v>
      </c>
      <c r="G351" s="4" t="s">
        <v>12</v>
      </c>
      <c r="H351" s="5">
        <v>82.5</v>
      </c>
      <c r="I351" s="4"/>
      <c r="J351" s="4">
        <f>SUMPRODUCT(--((A351=$A$3:$A$2785)*$H$3:$H$2785&gt;H351))+1</f>
        <v>18</v>
      </c>
    </row>
    <row r="352" s="1" customFormat="true" customHeight="true" spans="1:10">
      <c r="A352" s="4" t="str">
        <f t="shared" si="51"/>
        <v>011</v>
      </c>
      <c r="B352" s="4" t="s">
        <v>22</v>
      </c>
      <c r="C352" s="4" t="str">
        <f>"曾军"</f>
        <v>曾军</v>
      </c>
      <c r="D352" s="4" t="str">
        <f>"2021013929"</f>
        <v>2021013929</v>
      </c>
      <c r="E352" s="4" t="str">
        <f>"39"</f>
        <v>39</v>
      </c>
      <c r="F352" s="4" t="str">
        <f>"29"</f>
        <v>29</v>
      </c>
      <c r="G352" s="4" t="s">
        <v>12</v>
      </c>
      <c r="H352" s="5">
        <v>82.5</v>
      </c>
      <c r="I352" s="4"/>
      <c r="J352" s="4">
        <f>SUMPRODUCT(--((A352=$A$3:$A$2785)*$H$3:$H$2785&gt;H352))+1</f>
        <v>18</v>
      </c>
    </row>
    <row r="353" s="1" customFormat="true" customHeight="true" spans="1:10">
      <c r="A353" s="4" t="str">
        <f t="shared" si="51"/>
        <v>011</v>
      </c>
      <c r="B353" s="4" t="s">
        <v>22</v>
      </c>
      <c r="C353" s="4" t="str">
        <f>"宁卉"</f>
        <v>宁卉</v>
      </c>
      <c r="D353" s="4" t="str">
        <f>"2021013613"</f>
        <v>2021013613</v>
      </c>
      <c r="E353" s="4" t="str">
        <f>"36"</f>
        <v>36</v>
      </c>
      <c r="F353" s="4" t="str">
        <f>"13"</f>
        <v>13</v>
      </c>
      <c r="G353" s="4" t="s">
        <v>12</v>
      </c>
      <c r="H353" s="5">
        <v>82.25</v>
      </c>
      <c r="I353" s="4"/>
      <c r="J353" s="4">
        <f>SUMPRODUCT(--((A353=$A$3:$A$2785)*$H$3:$H$2785&gt;H353))+1</f>
        <v>20</v>
      </c>
    </row>
    <row r="354" s="1" customFormat="true" customHeight="true" spans="1:10">
      <c r="A354" s="4" t="str">
        <f t="shared" si="51"/>
        <v>011</v>
      </c>
      <c r="B354" s="4" t="s">
        <v>22</v>
      </c>
      <c r="C354" s="4" t="str">
        <f>"佘婷婷"</f>
        <v>佘婷婷</v>
      </c>
      <c r="D354" s="4" t="str">
        <f>"2021013820"</f>
        <v>2021013820</v>
      </c>
      <c r="E354" s="4" t="str">
        <f>"38"</f>
        <v>38</v>
      </c>
      <c r="F354" s="4" t="str">
        <f>"20"</f>
        <v>20</v>
      </c>
      <c r="G354" s="4" t="s">
        <v>12</v>
      </c>
      <c r="H354" s="5">
        <v>81.75</v>
      </c>
      <c r="I354" s="4"/>
      <c r="J354" s="4">
        <f>SUMPRODUCT(--((A354=$A$3:$A$2785)*$H$3:$H$2785&gt;H354))+1</f>
        <v>21</v>
      </c>
    </row>
    <row r="355" s="1" customFormat="true" customHeight="true" spans="1:10">
      <c r="A355" s="4" t="str">
        <f t="shared" si="51"/>
        <v>011</v>
      </c>
      <c r="B355" s="4" t="s">
        <v>22</v>
      </c>
      <c r="C355" s="4" t="str">
        <f>"易子桢"</f>
        <v>易子桢</v>
      </c>
      <c r="D355" s="4" t="str">
        <f>"2021014107"</f>
        <v>2021014107</v>
      </c>
      <c r="E355" s="4" t="str">
        <f>"41"</f>
        <v>41</v>
      </c>
      <c r="F355" s="4" t="str">
        <f>"07"</f>
        <v>07</v>
      </c>
      <c r="G355" s="4" t="s">
        <v>12</v>
      </c>
      <c r="H355" s="5">
        <v>81.75</v>
      </c>
      <c r="I355" s="4"/>
      <c r="J355" s="4">
        <f>SUMPRODUCT(--((A355=$A$3:$A$2785)*$H$3:$H$2785&gt;H355))+1</f>
        <v>21</v>
      </c>
    </row>
    <row r="356" s="1" customFormat="true" customHeight="true" spans="1:10">
      <c r="A356" s="4" t="str">
        <f t="shared" si="51"/>
        <v>011</v>
      </c>
      <c r="B356" s="4" t="s">
        <v>22</v>
      </c>
      <c r="C356" s="4" t="str">
        <f>"米丹桂"</f>
        <v>米丹桂</v>
      </c>
      <c r="D356" s="4" t="str">
        <f>"2021014120"</f>
        <v>2021014120</v>
      </c>
      <c r="E356" s="4" t="str">
        <f>"41"</f>
        <v>41</v>
      </c>
      <c r="F356" s="4" t="str">
        <f>"20"</f>
        <v>20</v>
      </c>
      <c r="G356" s="4" t="s">
        <v>12</v>
      </c>
      <c r="H356" s="5">
        <v>81.75</v>
      </c>
      <c r="I356" s="4"/>
      <c r="J356" s="4">
        <f>SUMPRODUCT(--((A356=$A$3:$A$2785)*$H$3:$H$2785&gt;H356))+1</f>
        <v>21</v>
      </c>
    </row>
    <row r="357" s="1" customFormat="true" customHeight="true" spans="1:10">
      <c r="A357" s="4" t="str">
        <f t="shared" si="51"/>
        <v>011</v>
      </c>
      <c r="B357" s="4" t="s">
        <v>22</v>
      </c>
      <c r="C357" s="4" t="str">
        <f>"黄晓芝"</f>
        <v>黄晓芝</v>
      </c>
      <c r="D357" s="4" t="str">
        <f>"2021013607"</f>
        <v>2021013607</v>
      </c>
      <c r="E357" s="4" t="str">
        <f>"36"</f>
        <v>36</v>
      </c>
      <c r="F357" s="4" t="str">
        <f>"07"</f>
        <v>07</v>
      </c>
      <c r="G357" s="4" t="s">
        <v>12</v>
      </c>
      <c r="H357" s="5">
        <v>81.5</v>
      </c>
      <c r="I357" s="4"/>
      <c r="J357" s="4">
        <f>SUMPRODUCT(--((A357=$A$3:$A$2785)*$H$3:$H$2785&gt;H357))+1</f>
        <v>24</v>
      </c>
    </row>
    <row r="358" s="1" customFormat="true" customHeight="true" spans="1:10">
      <c r="A358" s="4" t="str">
        <f t="shared" si="51"/>
        <v>011</v>
      </c>
      <c r="B358" s="4" t="s">
        <v>22</v>
      </c>
      <c r="C358" s="4" t="str">
        <f>"蓝方伶"</f>
        <v>蓝方伶</v>
      </c>
      <c r="D358" s="4" t="str">
        <f>"2021013828"</f>
        <v>2021013828</v>
      </c>
      <c r="E358" s="4" t="str">
        <f t="shared" ref="E358:E363" si="54">"38"</f>
        <v>38</v>
      </c>
      <c r="F358" s="4" t="str">
        <f>"28"</f>
        <v>28</v>
      </c>
      <c r="G358" s="4" t="s">
        <v>12</v>
      </c>
      <c r="H358" s="5">
        <v>81.5</v>
      </c>
      <c r="I358" s="4"/>
      <c r="J358" s="4">
        <f>SUMPRODUCT(--((A358=$A$3:$A$2785)*$H$3:$H$2785&gt;H358))+1</f>
        <v>24</v>
      </c>
    </row>
    <row r="359" s="1" customFormat="true" customHeight="true" spans="1:10">
      <c r="A359" s="4" t="str">
        <f t="shared" si="51"/>
        <v>011</v>
      </c>
      <c r="B359" s="4" t="s">
        <v>22</v>
      </c>
      <c r="C359" s="4" t="str">
        <f>"郑凡帆"</f>
        <v>郑凡帆</v>
      </c>
      <c r="D359" s="4" t="str">
        <f>"2021013906"</f>
        <v>2021013906</v>
      </c>
      <c r="E359" s="4" t="str">
        <f>"39"</f>
        <v>39</v>
      </c>
      <c r="F359" s="4" t="str">
        <f>"06"</f>
        <v>06</v>
      </c>
      <c r="G359" s="4" t="s">
        <v>12</v>
      </c>
      <c r="H359" s="5">
        <v>81.5</v>
      </c>
      <c r="I359" s="4"/>
      <c r="J359" s="4">
        <f>SUMPRODUCT(--((A359=$A$3:$A$2785)*$H$3:$H$2785&gt;H359))+1</f>
        <v>24</v>
      </c>
    </row>
    <row r="360" s="1" customFormat="true" customHeight="true" spans="1:10">
      <c r="A360" s="4" t="str">
        <f t="shared" si="51"/>
        <v>011</v>
      </c>
      <c r="B360" s="4" t="s">
        <v>22</v>
      </c>
      <c r="C360" s="4" t="str">
        <f>"向月思"</f>
        <v>向月思</v>
      </c>
      <c r="D360" s="4" t="str">
        <f>"2021013515"</f>
        <v>2021013515</v>
      </c>
      <c r="E360" s="4" t="str">
        <f>"35"</f>
        <v>35</v>
      </c>
      <c r="F360" s="4" t="str">
        <f>"15"</f>
        <v>15</v>
      </c>
      <c r="G360" s="4" t="s">
        <v>12</v>
      </c>
      <c r="H360" s="5">
        <v>81.25</v>
      </c>
      <c r="I360" s="4"/>
      <c r="J360" s="4">
        <f>SUMPRODUCT(--((A360=$A$3:$A$2785)*$H$3:$H$2785&gt;H360))+1</f>
        <v>27</v>
      </c>
    </row>
    <row r="361" s="1" customFormat="true" customHeight="true" spans="1:10">
      <c r="A361" s="4" t="str">
        <f t="shared" si="51"/>
        <v>011</v>
      </c>
      <c r="B361" s="4" t="s">
        <v>22</v>
      </c>
      <c r="C361" s="4" t="str">
        <f>"刘梦姿"</f>
        <v>刘梦姿</v>
      </c>
      <c r="D361" s="4" t="str">
        <f>"2021013624"</f>
        <v>2021013624</v>
      </c>
      <c r="E361" s="4" t="str">
        <f>"36"</f>
        <v>36</v>
      </c>
      <c r="F361" s="4" t="str">
        <f>"24"</f>
        <v>24</v>
      </c>
      <c r="G361" s="4" t="s">
        <v>12</v>
      </c>
      <c r="H361" s="5">
        <v>81.25</v>
      </c>
      <c r="I361" s="4"/>
      <c r="J361" s="4">
        <f>SUMPRODUCT(--((A361=$A$3:$A$2785)*$H$3:$H$2785&gt;H361))+1</f>
        <v>27</v>
      </c>
    </row>
    <row r="362" s="1" customFormat="true" customHeight="true" spans="1:10">
      <c r="A362" s="4" t="str">
        <f t="shared" si="51"/>
        <v>011</v>
      </c>
      <c r="B362" s="4" t="s">
        <v>22</v>
      </c>
      <c r="C362" s="4" t="str">
        <f>"谢小芳"</f>
        <v>谢小芳</v>
      </c>
      <c r="D362" s="4" t="str">
        <f>"2021013805"</f>
        <v>2021013805</v>
      </c>
      <c r="E362" s="4" t="str">
        <f t="shared" si="54"/>
        <v>38</v>
      </c>
      <c r="F362" s="4" t="str">
        <f>"05"</f>
        <v>05</v>
      </c>
      <c r="G362" s="4" t="s">
        <v>12</v>
      </c>
      <c r="H362" s="5">
        <v>81.25</v>
      </c>
      <c r="I362" s="4"/>
      <c r="J362" s="4">
        <f>SUMPRODUCT(--((A362=$A$3:$A$2785)*$H$3:$H$2785&gt;H362))+1</f>
        <v>27</v>
      </c>
    </row>
    <row r="363" s="1" customFormat="true" customHeight="true" spans="1:10">
      <c r="A363" s="4" t="str">
        <f t="shared" si="51"/>
        <v>011</v>
      </c>
      <c r="B363" s="4" t="s">
        <v>22</v>
      </c>
      <c r="C363" s="4" t="str">
        <f>"李钰"</f>
        <v>李钰</v>
      </c>
      <c r="D363" s="4" t="str">
        <f>"2021013814"</f>
        <v>2021013814</v>
      </c>
      <c r="E363" s="4" t="str">
        <f t="shared" si="54"/>
        <v>38</v>
      </c>
      <c r="F363" s="4" t="str">
        <f>"14"</f>
        <v>14</v>
      </c>
      <c r="G363" s="4" t="s">
        <v>12</v>
      </c>
      <c r="H363" s="5">
        <v>81.25</v>
      </c>
      <c r="I363" s="4"/>
      <c r="J363" s="4">
        <f>SUMPRODUCT(--((A363=$A$3:$A$2785)*$H$3:$H$2785&gt;H363))+1</f>
        <v>27</v>
      </c>
    </row>
    <row r="364" s="1" customFormat="true" customHeight="true" spans="1:10">
      <c r="A364" s="4" t="str">
        <f t="shared" si="51"/>
        <v>011</v>
      </c>
      <c r="B364" s="4" t="s">
        <v>22</v>
      </c>
      <c r="C364" s="4" t="str">
        <f>"杨胜英"</f>
        <v>杨胜英</v>
      </c>
      <c r="D364" s="4" t="str">
        <f>"2021014003"</f>
        <v>2021014003</v>
      </c>
      <c r="E364" s="4" t="str">
        <f>"40"</f>
        <v>40</v>
      </c>
      <c r="F364" s="4" t="str">
        <f>"03"</f>
        <v>03</v>
      </c>
      <c r="G364" s="4" t="s">
        <v>12</v>
      </c>
      <c r="H364" s="5">
        <v>81</v>
      </c>
      <c r="I364" s="4"/>
      <c r="J364" s="4">
        <f>SUMPRODUCT(--((A364=$A$3:$A$2785)*$H$3:$H$2785&gt;H364))+1</f>
        <v>31</v>
      </c>
    </row>
    <row r="365" s="1" customFormat="true" customHeight="true" spans="1:10">
      <c r="A365" s="4" t="str">
        <f t="shared" si="51"/>
        <v>011</v>
      </c>
      <c r="B365" s="4" t="s">
        <v>22</v>
      </c>
      <c r="C365" s="4" t="str">
        <f>"向艳"</f>
        <v>向艳</v>
      </c>
      <c r="D365" s="4" t="str">
        <f>"2021013712"</f>
        <v>2021013712</v>
      </c>
      <c r="E365" s="4" t="str">
        <f>"37"</f>
        <v>37</v>
      </c>
      <c r="F365" s="4" t="str">
        <f>"12"</f>
        <v>12</v>
      </c>
      <c r="G365" s="4" t="s">
        <v>12</v>
      </c>
      <c r="H365" s="5">
        <v>80.75</v>
      </c>
      <c r="I365" s="4"/>
      <c r="J365" s="4">
        <f>SUMPRODUCT(--((A365=$A$3:$A$2785)*$H$3:$H$2785&gt;H365))+1</f>
        <v>32</v>
      </c>
    </row>
    <row r="366" s="1" customFormat="true" customHeight="true" spans="1:10">
      <c r="A366" s="4" t="str">
        <f t="shared" si="51"/>
        <v>011</v>
      </c>
      <c r="B366" s="4" t="s">
        <v>22</v>
      </c>
      <c r="C366" s="4" t="str">
        <f>"贺维蓉"</f>
        <v>贺维蓉</v>
      </c>
      <c r="D366" s="4" t="str">
        <f>"2021013905"</f>
        <v>2021013905</v>
      </c>
      <c r="E366" s="4" t="str">
        <f>"39"</f>
        <v>39</v>
      </c>
      <c r="F366" s="4" t="str">
        <f>"05"</f>
        <v>05</v>
      </c>
      <c r="G366" s="4" t="s">
        <v>12</v>
      </c>
      <c r="H366" s="5">
        <v>80.75</v>
      </c>
      <c r="I366" s="4"/>
      <c r="J366" s="4">
        <f>SUMPRODUCT(--((A366=$A$3:$A$2785)*$H$3:$H$2785&gt;H366))+1</f>
        <v>32</v>
      </c>
    </row>
    <row r="367" s="1" customFormat="true" customHeight="true" spans="1:10">
      <c r="A367" s="4" t="str">
        <f t="shared" si="51"/>
        <v>011</v>
      </c>
      <c r="B367" s="4" t="s">
        <v>22</v>
      </c>
      <c r="C367" s="4" t="str">
        <f>"向艳梅"</f>
        <v>向艳梅</v>
      </c>
      <c r="D367" s="4" t="str">
        <f>"2021014117"</f>
        <v>2021014117</v>
      </c>
      <c r="E367" s="4" t="str">
        <f>"41"</f>
        <v>41</v>
      </c>
      <c r="F367" s="4" t="str">
        <f>"17"</f>
        <v>17</v>
      </c>
      <c r="G367" s="4" t="s">
        <v>12</v>
      </c>
      <c r="H367" s="5">
        <v>80.75</v>
      </c>
      <c r="I367" s="4"/>
      <c r="J367" s="4">
        <f>SUMPRODUCT(--((A367=$A$3:$A$2785)*$H$3:$H$2785&gt;H367))+1</f>
        <v>32</v>
      </c>
    </row>
    <row r="368" s="1" customFormat="true" customHeight="true" spans="1:10">
      <c r="A368" s="4" t="str">
        <f t="shared" si="51"/>
        <v>011</v>
      </c>
      <c r="B368" s="4" t="s">
        <v>22</v>
      </c>
      <c r="C368" s="4" t="str">
        <f>"戴梦蓉"</f>
        <v>戴梦蓉</v>
      </c>
      <c r="D368" s="4" t="str">
        <f>"2021013619"</f>
        <v>2021013619</v>
      </c>
      <c r="E368" s="4" t="str">
        <f>"36"</f>
        <v>36</v>
      </c>
      <c r="F368" s="4" t="str">
        <f>"19"</f>
        <v>19</v>
      </c>
      <c r="G368" s="4" t="s">
        <v>12</v>
      </c>
      <c r="H368" s="5">
        <v>80.5</v>
      </c>
      <c r="I368" s="4"/>
      <c r="J368" s="4">
        <f>SUMPRODUCT(--((A368=$A$3:$A$2785)*$H$3:$H$2785&gt;H368))+1</f>
        <v>35</v>
      </c>
    </row>
    <row r="369" s="1" customFormat="true" customHeight="true" spans="1:10">
      <c r="A369" s="4" t="str">
        <f t="shared" si="51"/>
        <v>011</v>
      </c>
      <c r="B369" s="4" t="s">
        <v>22</v>
      </c>
      <c r="C369" s="4" t="str">
        <f>"段茜娅"</f>
        <v>段茜娅</v>
      </c>
      <c r="D369" s="4" t="str">
        <f>"2021013709"</f>
        <v>2021013709</v>
      </c>
      <c r="E369" s="4" t="str">
        <f>"37"</f>
        <v>37</v>
      </c>
      <c r="F369" s="4" t="str">
        <f t="shared" ref="F369:F373" si="55">"09"</f>
        <v>09</v>
      </c>
      <c r="G369" s="4" t="s">
        <v>12</v>
      </c>
      <c r="H369" s="5">
        <v>80.5</v>
      </c>
      <c r="I369" s="4"/>
      <c r="J369" s="4">
        <f>SUMPRODUCT(--((A369=$A$3:$A$2785)*$H$3:$H$2785&gt;H369))+1</f>
        <v>35</v>
      </c>
    </row>
    <row r="370" s="1" customFormat="true" customHeight="true" spans="1:10">
      <c r="A370" s="4" t="str">
        <f t="shared" si="51"/>
        <v>011</v>
      </c>
      <c r="B370" s="4" t="s">
        <v>22</v>
      </c>
      <c r="C370" s="4" t="str">
        <f>"沈梦婷"</f>
        <v>沈梦婷</v>
      </c>
      <c r="D370" s="4" t="str">
        <f>"2021014011"</f>
        <v>2021014011</v>
      </c>
      <c r="E370" s="4" t="str">
        <f t="shared" ref="E370:E374" si="56">"40"</f>
        <v>40</v>
      </c>
      <c r="F370" s="4" t="str">
        <f>"11"</f>
        <v>11</v>
      </c>
      <c r="G370" s="4" t="s">
        <v>12</v>
      </c>
      <c r="H370" s="5">
        <v>80.5</v>
      </c>
      <c r="I370" s="4"/>
      <c r="J370" s="4">
        <f>SUMPRODUCT(--((A370=$A$3:$A$2785)*$H$3:$H$2785&gt;H370))+1</f>
        <v>35</v>
      </c>
    </row>
    <row r="371" s="1" customFormat="true" customHeight="true" spans="1:10">
      <c r="A371" s="4" t="str">
        <f t="shared" si="51"/>
        <v>011</v>
      </c>
      <c r="B371" s="4" t="s">
        <v>22</v>
      </c>
      <c r="C371" s="4" t="str">
        <f>"袁茂红"</f>
        <v>袁茂红</v>
      </c>
      <c r="D371" s="4" t="str">
        <f>"2021014016"</f>
        <v>2021014016</v>
      </c>
      <c r="E371" s="4" t="str">
        <f t="shared" si="56"/>
        <v>40</v>
      </c>
      <c r="F371" s="4" t="str">
        <f>"16"</f>
        <v>16</v>
      </c>
      <c r="G371" s="4" t="s">
        <v>12</v>
      </c>
      <c r="H371" s="5">
        <v>80.5</v>
      </c>
      <c r="I371" s="4"/>
      <c r="J371" s="4">
        <f>SUMPRODUCT(--((A371=$A$3:$A$2785)*$H$3:$H$2785&gt;H371))+1</f>
        <v>35</v>
      </c>
    </row>
    <row r="372" s="1" customFormat="true" customHeight="true" spans="1:10">
      <c r="A372" s="4" t="str">
        <f t="shared" si="51"/>
        <v>011</v>
      </c>
      <c r="B372" s="4" t="s">
        <v>22</v>
      </c>
      <c r="C372" s="4" t="str">
        <f>"邹苹苹"</f>
        <v>邹苹苹</v>
      </c>
      <c r="D372" s="4" t="str">
        <f>"2021013609"</f>
        <v>2021013609</v>
      </c>
      <c r="E372" s="4" t="str">
        <f>"36"</f>
        <v>36</v>
      </c>
      <c r="F372" s="4" t="str">
        <f t="shared" si="55"/>
        <v>09</v>
      </c>
      <c r="G372" s="4" t="s">
        <v>12</v>
      </c>
      <c r="H372" s="5">
        <v>80.25</v>
      </c>
      <c r="I372" s="4"/>
      <c r="J372" s="4">
        <f>SUMPRODUCT(--((A372=$A$3:$A$2785)*$H$3:$H$2785&gt;H372))+1</f>
        <v>39</v>
      </c>
    </row>
    <row r="373" s="1" customFormat="true" customHeight="true" spans="1:10">
      <c r="A373" s="4" t="str">
        <f t="shared" si="51"/>
        <v>011</v>
      </c>
      <c r="B373" s="4" t="s">
        <v>22</v>
      </c>
      <c r="C373" s="4" t="str">
        <f>"彭静"</f>
        <v>彭静</v>
      </c>
      <c r="D373" s="4" t="str">
        <f>"2021013809"</f>
        <v>2021013809</v>
      </c>
      <c r="E373" s="4" t="str">
        <f t="shared" ref="E373:E377" si="57">"38"</f>
        <v>38</v>
      </c>
      <c r="F373" s="4" t="str">
        <f t="shared" si="55"/>
        <v>09</v>
      </c>
      <c r="G373" s="4" t="s">
        <v>12</v>
      </c>
      <c r="H373" s="5">
        <v>80.25</v>
      </c>
      <c r="I373" s="4"/>
      <c r="J373" s="4">
        <f>SUMPRODUCT(--((A373=$A$3:$A$2785)*$H$3:$H$2785&gt;H373))+1</f>
        <v>39</v>
      </c>
    </row>
    <row r="374" s="1" customFormat="true" customHeight="true" spans="1:10">
      <c r="A374" s="4" t="str">
        <f t="shared" si="51"/>
        <v>011</v>
      </c>
      <c r="B374" s="4" t="s">
        <v>22</v>
      </c>
      <c r="C374" s="4" t="str">
        <f>"杨雲菲"</f>
        <v>杨雲菲</v>
      </c>
      <c r="D374" s="4" t="str">
        <f>"2021014015"</f>
        <v>2021014015</v>
      </c>
      <c r="E374" s="4" t="str">
        <f t="shared" si="56"/>
        <v>40</v>
      </c>
      <c r="F374" s="4" t="str">
        <f>"15"</f>
        <v>15</v>
      </c>
      <c r="G374" s="4" t="s">
        <v>12</v>
      </c>
      <c r="H374" s="5">
        <v>80.25</v>
      </c>
      <c r="I374" s="4"/>
      <c r="J374" s="4">
        <f>SUMPRODUCT(--((A374=$A$3:$A$2785)*$H$3:$H$2785&gt;H374))+1</f>
        <v>39</v>
      </c>
    </row>
    <row r="375" s="1" customFormat="true" customHeight="true" spans="1:10">
      <c r="A375" s="4" t="str">
        <f t="shared" si="51"/>
        <v>011</v>
      </c>
      <c r="B375" s="4" t="s">
        <v>22</v>
      </c>
      <c r="C375" s="4" t="str">
        <f>"尹杰"</f>
        <v>尹杰</v>
      </c>
      <c r="D375" s="4" t="str">
        <f>"2021013721"</f>
        <v>2021013721</v>
      </c>
      <c r="E375" s="4" t="str">
        <f>"37"</f>
        <v>37</v>
      </c>
      <c r="F375" s="4" t="str">
        <f>"21"</f>
        <v>21</v>
      </c>
      <c r="G375" s="4" t="s">
        <v>12</v>
      </c>
      <c r="H375" s="5">
        <v>80</v>
      </c>
      <c r="I375" s="4"/>
      <c r="J375" s="4">
        <f>SUMPRODUCT(--((A375=$A$3:$A$2785)*$H$3:$H$2785&gt;H375))+1</f>
        <v>42</v>
      </c>
    </row>
    <row r="376" s="1" customFormat="true" customHeight="true" spans="1:10">
      <c r="A376" s="4" t="str">
        <f t="shared" si="51"/>
        <v>011</v>
      </c>
      <c r="B376" s="4" t="s">
        <v>22</v>
      </c>
      <c r="C376" s="4" t="str">
        <f>"阮可"</f>
        <v>阮可</v>
      </c>
      <c r="D376" s="4" t="str">
        <f>"2021013807"</f>
        <v>2021013807</v>
      </c>
      <c r="E376" s="4" t="str">
        <f t="shared" si="57"/>
        <v>38</v>
      </c>
      <c r="F376" s="4" t="str">
        <f>"07"</f>
        <v>07</v>
      </c>
      <c r="G376" s="4" t="s">
        <v>12</v>
      </c>
      <c r="H376" s="5">
        <v>80</v>
      </c>
      <c r="I376" s="4"/>
      <c r="J376" s="4">
        <f>SUMPRODUCT(--((A376=$A$3:$A$2785)*$H$3:$H$2785&gt;H376))+1</f>
        <v>42</v>
      </c>
    </row>
    <row r="377" s="1" customFormat="true" customHeight="true" spans="1:10">
      <c r="A377" s="4" t="str">
        <f t="shared" si="51"/>
        <v>011</v>
      </c>
      <c r="B377" s="4" t="s">
        <v>22</v>
      </c>
      <c r="C377" s="4" t="str">
        <f>"韩意"</f>
        <v>韩意</v>
      </c>
      <c r="D377" s="4" t="str">
        <f>"2021013826"</f>
        <v>2021013826</v>
      </c>
      <c r="E377" s="4" t="str">
        <f t="shared" si="57"/>
        <v>38</v>
      </c>
      <c r="F377" s="4" t="str">
        <f>"26"</f>
        <v>26</v>
      </c>
      <c r="G377" s="4" t="s">
        <v>12</v>
      </c>
      <c r="H377" s="5">
        <v>80</v>
      </c>
      <c r="I377" s="4"/>
      <c r="J377" s="4">
        <f>SUMPRODUCT(--((A377=$A$3:$A$2785)*$H$3:$H$2785&gt;H377))+1</f>
        <v>42</v>
      </c>
    </row>
    <row r="378" s="1" customFormat="true" customHeight="true" spans="1:10">
      <c r="A378" s="4" t="str">
        <f t="shared" si="51"/>
        <v>011</v>
      </c>
      <c r="B378" s="4" t="s">
        <v>22</v>
      </c>
      <c r="C378" s="4" t="str">
        <f>"杨媛媛"</f>
        <v>杨媛媛</v>
      </c>
      <c r="D378" s="4" t="str">
        <f>"2021013928"</f>
        <v>2021013928</v>
      </c>
      <c r="E378" s="4" t="str">
        <f>"39"</f>
        <v>39</v>
      </c>
      <c r="F378" s="4" t="str">
        <f>"28"</f>
        <v>28</v>
      </c>
      <c r="G378" s="4" t="s">
        <v>12</v>
      </c>
      <c r="H378" s="5">
        <v>80</v>
      </c>
      <c r="I378" s="4"/>
      <c r="J378" s="4">
        <f>SUMPRODUCT(--((A378=$A$3:$A$2785)*$H$3:$H$2785&gt;H378))+1</f>
        <v>42</v>
      </c>
    </row>
    <row r="379" s="1" customFormat="true" customHeight="true" spans="1:10">
      <c r="A379" s="4" t="str">
        <f t="shared" si="51"/>
        <v>011</v>
      </c>
      <c r="B379" s="4" t="s">
        <v>22</v>
      </c>
      <c r="C379" s="4" t="str">
        <f>"杨年明"</f>
        <v>杨年明</v>
      </c>
      <c r="D379" s="4" t="str">
        <f>"2021014010"</f>
        <v>2021014010</v>
      </c>
      <c r="E379" s="4" t="str">
        <f>"40"</f>
        <v>40</v>
      </c>
      <c r="F379" s="4" t="str">
        <f>"10"</f>
        <v>10</v>
      </c>
      <c r="G379" s="4" t="s">
        <v>12</v>
      </c>
      <c r="H379" s="5">
        <v>80</v>
      </c>
      <c r="I379" s="4"/>
      <c r="J379" s="4">
        <f>SUMPRODUCT(--((A379=$A$3:$A$2785)*$H$3:$H$2785&gt;H379))+1</f>
        <v>42</v>
      </c>
    </row>
    <row r="380" s="1" customFormat="true" customHeight="true" spans="1:10">
      <c r="A380" s="4" t="str">
        <f t="shared" si="51"/>
        <v>011</v>
      </c>
      <c r="B380" s="4" t="s">
        <v>22</v>
      </c>
      <c r="C380" s="4" t="str">
        <f>"杨菲"</f>
        <v>杨菲</v>
      </c>
      <c r="D380" s="4" t="str">
        <f>"2021013614"</f>
        <v>2021013614</v>
      </c>
      <c r="E380" s="4" t="str">
        <f>"36"</f>
        <v>36</v>
      </c>
      <c r="F380" s="4" t="str">
        <f>"14"</f>
        <v>14</v>
      </c>
      <c r="G380" s="4" t="s">
        <v>12</v>
      </c>
      <c r="H380" s="5">
        <v>79.75</v>
      </c>
      <c r="I380" s="4"/>
      <c r="J380" s="4">
        <f>SUMPRODUCT(--((A380=$A$3:$A$2785)*$H$3:$H$2785&gt;H380))+1</f>
        <v>47</v>
      </c>
    </row>
    <row r="381" s="1" customFormat="true" customHeight="true" spans="1:10">
      <c r="A381" s="4" t="str">
        <f t="shared" si="51"/>
        <v>011</v>
      </c>
      <c r="B381" s="4" t="s">
        <v>22</v>
      </c>
      <c r="C381" s="4" t="str">
        <f>"胡芬"</f>
        <v>胡芬</v>
      </c>
      <c r="D381" s="4" t="str">
        <f>"2021013529"</f>
        <v>2021013529</v>
      </c>
      <c r="E381" s="4" t="str">
        <f>"35"</f>
        <v>35</v>
      </c>
      <c r="F381" s="4" t="str">
        <f>"29"</f>
        <v>29</v>
      </c>
      <c r="G381" s="4" t="s">
        <v>12</v>
      </c>
      <c r="H381" s="5">
        <v>79.5</v>
      </c>
      <c r="I381" s="4"/>
      <c r="J381" s="4">
        <f>SUMPRODUCT(--((A381=$A$3:$A$2785)*$H$3:$H$2785&gt;H381))+1</f>
        <v>48</v>
      </c>
    </row>
    <row r="382" s="1" customFormat="true" customHeight="true" spans="1:10">
      <c r="A382" s="4" t="str">
        <f t="shared" si="51"/>
        <v>011</v>
      </c>
      <c r="B382" s="4" t="s">
        <v>22</v>
      </c>
      <c r="C382" s="4" t="str">
        <f>"彭芳园"</f>
        <v>彭芳园</v>
      </c>
      <c r="D382" s="4" t="str">
        <f>"2021013630"</f>
        <v>2021013630</v>
      </c>
      <c r="E382" s="4" t="str">
        <f>"36"</f>
        <v>36</v>
      </c>
      <c r="F382" s="4" t="str">
        <f>"30"</f>
        <v>30</v>
      </c>
      <c r="G382" s="4" t="s">
        <v>12</v>
      </c>
      <c r="H382" s="5">
        <v>79.5</v>
      </c>
      <c r="I382" s="4"/>
      <c r="J382" s="4">
        <f>SUMPRODUCT(--((A382=$A$3:$A$2785)*$H$3:$H$2785&gt;H382))+1</f>
        <v>48</v>
      </c>
    </row>
    <row r="383" s="1" customFormat="true" customHeight="true" spans="1:10">
      <c r="A383" s="4" t="str">
        <f t="shared" si="51"/>
        <v>011</v>
      </c>
      <c r="B383" s="4" t="s">
        <v>22</v>
      </c>
      <c r="C383" s="4" t="str">
        <f>"熊婧"</f>
        <v>熊婧</v>
      </c>
      <c r="D383" s="4" t="str">
        <f>"2021013725"</f>
        <v>2021013725</v>
      </c>
      <c r="E383" s="4" t="str">
        <f>"37"</f>
        <v>37</v>
      </c>
      <c r="F383" s="4" t="str">
        <f>"25"</f>
        <v>25</v>
      </c>
      <c r="G383" s="4" t="s">
        <v>12</v>
      </c>
      <c r="H383" s="5">
        <v>79.5</v>
      </c>
      <c r="I383" s="4"/>
      <c r="J383" s="4">
        <f>SUMPRODUCT(--((A383=$A$3:$A$2785)*$H$3:$H$2785&gt;H383))+1</f>
        <v>48</v>
      </c>
    </row>
    <row r="384" s="1" customFormat="true" customHeight="true" spans="1:10">
      <c r="A384" s="4" t="str">
        <f t="shared" si="51"/>
        <v>011</v>
      </c>
      <c r="B384" s="4" t="s">
        <v>22</v>
      </c>
      <c r="C384" s="4" t="str">
        <f>"唐欢"</f>
        <v>唐欢</v>
      </c>
      <c r="D384" s="4" t="str">
        <f>"2021013821"</f>
        <v>2021013821</v>
      </c>
      <c r="E384" s="4" t="str">
        <f>"38"</f>
        <v>38</v>
      </c>
      <c r="F384" s="4" t="str">
        <f>"21"</f>
        <v>21</v>
      </c>
      <c r="G384" s="4" t="s">
        <v>12</v>
      </c>
      <c r="H384" s="5">
        <v>79.5</v>
      </c>
      <c r="I384" s="4"/>
      <c r="J384" s="4">
        <f>SUMPRODUCT(--((A384=$A$3:$A$2785)*$H$3:$H$2785&gt;H384))+1</f>
        <v>48</v>
      </c>
    </row>
    <row r="385" s="1" customFormat="true" customHeight="true" spans="1:10">
      <c r="A385" s="4" t="str">
        <f t="shared" si="51"/>
        <v>011</v>
      </c>
      <c r="B385" s="4" t="s">
        <v>22</v>
      </c>
      <c r="C385" s="4" t="str">
        <f>"贺幸哲"</f>
        <v>贺幸哲</v>
      </c>
      <c r="D385" s="4" t="str">
        <f>"2021013927"</f>
        <v>2021013927</v>
      </c>
      <c r="E385" s="4" t="str">
        <f>"39"</f>
        <v>39</v>
      </c>
      <c r="F385" s="4" t="str">
        <f>"27"</f>
        <v>27</v>
      </c>
      <c r="G385" s="4" t="s">
        <v>12</v>
      </c>
      <c r="H385" s="5">
        <v>79.5</v>
      </c>
      <c r="I385" s="4"/>
      <c r="J385" s="4">
        <f>SUMPRODUCT(--((A385=$A$3:$A$2785)*$H$3:$H$2785&gt;H385))+1</f>
        <v>48</v>
      </c>
    </row>
    <row r="386" s="1" customFormat="true" customHeight="true" spans="1:10">
      <c r="A386" s="4" t="str">
        <f t="shared" si="51"/>
        <v>011</v>
      </c>
      <c r="B386" s="4" t="s">
        <v>22</v>
      </c>
      <c r="C386" s="4" t="str">
        <f>"杨书颖"</f>
        <v>杨书颖</v>
      </c>
      <c r="D386" s="4" t="str">
        <f>"2021014109"</f>
        <v>2021014109</v>
      </c>
      <c r="E386" s="4" t="str">
        <f>"41"</f>
        <v>41</v>
      </c>
      <c r="F386" s="4" t="str">
        <f>"09"</f>
        <v>09</v>
      </c>
      <c r="G386" s="4" t="s">
        <v>12</v>
      </c>
      <c r="H386" s="5">
        <v>79.5</v>
      </c>
      <c r="I386" s="4"/>
      <c r="J386" s="4">
        <f>SUMPRODUCT(--((A386=$A$3:$A$2785)*$H$3:$H$2785&gt;H386))+1</f>
        <v>48</v>
      </c>
    </row>
    <row r="387" s="1" customFormat="true" customHeight="true" spans="1:10">
      <c r="A387" s="4" t="str">
        <f t="shared" si="51"/>
        <v>011</v>
      </c>
      <c r="B387" s="4" t="s">
        <v>22</v>
      </c>
      <c r="C387" s="4" t="str">
        <f>"张倩倩"</f>
        <v>张倩倩</v>
      </c>
      <c r="D387" s="4" t="str">
        <f>"2021013527"</f>
        <v>2021013527</v>
      </c>
      <c r="E387" s="4" t="str">
        <f>"35"</f>
        <v>35</v>
      </c>
      <c r="F387" s="4" t="str">
        <f>"27"</f>
        <v>27</v>
      </c>
      <c r="G387" s="4" t="s">
        <v>12</v>
      </c>
      <c r="H387" s="5">
        <v>79.25</v>
      </c>
      <c r="I387" s="4"/>
      <c r="J387" s="4">
        <f>SUMPRODUCT(--((A387=$A$3:$A$2785)*$H$3:$H$2785&gt;H387))+1</f>
        <v>54</v>
      </c>
    </row>
    <row r="388" s="1" customFormat="true" customHeight="true" spans="1:10">
      <c r="A388" s="4" t="str">
        <f t="shared" si="51"/>
        <v>011</v>
      </c>
      <c r="B388" s="4" t="s">
        <v>22</v>
      </c>
      <c r="C388" s="4" t="str">
        <f>"杨丽"</f>
        <v>杨丽</v>
      </c>
      <c r="D388" s="4" t="str">
        <f>"2021013803"</f>
        <v>2021013803</v>
      </c>
      <c r="E388" s="4" t="str">
        <f>"38"</f>
        <v>38</v>
      </c>
      <c r="F388" s="4" t="str">
        <f>"03"</f>
        <v>03</v>
      </c>
      <c r="G388" s="4" t="s">
        <v>12</v>
      </c>
      <c r="H388" s="5">
        <v>79.25</v>
      </c>
      <c r="I388" s="4"/>
      <c r="J388" s="4">
        <f>SUMPRODUCT(--((A388=$A$3:$A$2785)*$H$3:$H$2785&gt;H388))+1</f>
        <v>54</v>
      </c>
    </row>
    <row r="389" s="1" customFormat="true" customHeight="true" spans="1:10">
      <c r="A389" s="4" t="str">
        <f t="shared" si="51"/>
        <v>011</v>
      </c>
      <c r="B389" s="4" t="s">
        <v>22</v>
      </c>
      <c r="C389" s="4" t="str">
        <f>"冉少英"</f>
        <v>冉少英</v>
      </c>
      <c r="D389" s="4" t="str">
        <f>"2021014018"</f>
        <v>2021014018</v>
      </c>
      <c r="E389" s="4" t="str">
        <f>"40"</f>
        <v>40</v>
      </c>
      <c r="F389" s="4" t="str">
        <f>"18"</f>
        <v>18</v>
      </c>
      <c r="G389" s="4" t="s">
        <v>12</v>
      </c>
      <c r="H389" s="5">
        <v>79.25</v>
      </c>
      <c r="I389" s="4"/>
      <c r="J389" s="4">
        <f>SUMPRODUCT(--((A389=$A$3:$A$2785)*$H$3:$H$2785&gt;H389))+1</f>
        <v>54</v>
      </c>
    </row>
    <row r="390" s="1" customFormat="true" customHeight="true" spans="1:10">
      <c r="A390" s="4" t="str">
        <f t="shared" si="51"/>
        <v>011</v>
      </c>
      <c r="B390" s="4" t="s">
        <v>22</v>
      </c>
      <c r="C390" s="4" t="str">
        <f>"张海莲"</f>
        <v>张海莲</v>
      </c>
      <c r="D390" s="4" t="str">
        <f>"2021014020"</f>
        <v>2021014020</v>
      </c>
      <c r="E390" s="4" t="str">
        <f>"40"</f>
        <v>40</v>
      </c>
      <c r="F390" s="4" t="str">
        <f>"20"</f>
        <v>20</v>
      </c>
      <c r="G390" s="4" t="s">
        <v>12</v>
      </c>
      <c r="H390" s="5">
        <v>79.25</v>
      </c>
      <c r="I390" s="4"/>
      <c r="J390" s="4">
        <f>SUMPRODUCT(--((A390=$A$3:$A$2785)*$H$3:$H$2785&gt;H390))+1</f>
        <v>54</v>
      </c>
    </row>
    <row r="391" s="1" customFormat="true" customHeight="true" spans="1:10">
      <c r="A391" s="4" t="str">
        <f t="shared" si="51"/>
        <v>011</v>
      </c>
      <c r="B391" s="4" t="s">
        <v>22</v>
      </c>
      <c r="C391" s="4" t="str">
        <f>"夏剑梅"</f>
        <v>夏剑梅</v>
      </c>
      <c r="D391" s="4" t="str">
        <f>"2021013605"</f>
        <v>2021013605</v>
      </c>
      <c r="E391" s="4" t="str">
        <f t="shared" ref="E391:E393" si="58">"36"</f>
        <v>36</v>
      </c>
      <c r="F391" s="4" t="str">
        <f>"05"</f>
        <v>05</v>
      </c>
      <c r="G391" s="4" t="s">
        <v>12</v>
      </c>
      <c r="H391" s="5">
        <v>79</v>
      </c>
      <c r="I391" s="4"/>
      <c r="J391" s="4">
        <f>SUMPRODUCT(--((A391=$A$3:$A$2785)*$H$3:$H$2785&gt;H391))+1</f>
        <v>58</v>
      </c>
    </row>
    <row r="392" s="1" customFormat="true" customHeight="true" spans="1:10">
      <c r="A392" s="4" t="str">
        <f t="shared" si="51"/>
        <v>011</v>
      </c>
      <c r="B392" s="4" t="s">
        <v>22</v>
      </c>
      <c r="C392" s="4" t="str">
        <f>"黄海燕"</f>
        <v>黄海燕</v>
      </c>
      <c r="D392" s="4" t="str">
        <f>"2021013611"</f>
        <v>2021013611</v>
      </c>
      <c r="E392" s="4" t="str">
        <f t="shared" si="58"/>
        <v>36</v>
      </c>
      <c r="F392" s="4" t="str">
        <f>"11"</f>
        <v>11</v>
      </c>
      <c r="G392" s="4" t="s">
        <v>12</v>
      </c>
      <c r="H392" s="5">
        <v>79</v>
      </c>
      <c r="I392" s="4"/>
      <c r="J392" s="4">
        <f>SUMPRODUCT(--((A392=$A$3:$A$2785)*$H$3:$H$2785&gt;H392))+1</f>
        <v>58</v>
      </c>
    </row>
    <row r="393" s="1" customFormat="true" customHeight="true" spans="1:10">
      <c r="A393" s="4" t="str">
        <f t="shared" si="51"/>
        <v>011</v>
      </c>
      <c r="B393" s="4" t="s">
        <v>22</v>
      </c>
      <c r="C393" s="4" t="str">
        <f>"唐小云"</f>
        <v>唐小云</v>
      </c>
      <c r="D393" s="4" t="str">
        <f>"2021013628"</f>
        <v>2021013628</v>
      </c>
      <c r="E393" s="4" t="str">
        <f t="shared" si="58"/>
        <v>36</v>
      </c>
      <c r="F393" s="4" t="str">
        <f>"28"</f>
        <v>28</v>
      </c>
      <c r="G393" s="4" t="s">
        <v>12</v>
      </c>
      <c r="H393" s="5">
        <v>79</v>
      </c>
      <c r="I393" s="4"/>
      <c r="J393" s="4">
        <f>SUMPRODUCT(--((A393=$A$3:$A$2785)*$H$3:$H$2785&gt;H393))+1</f>
        <v>58</v>
      </c>
    </row>
    <row r="394" s="1" customFormat="true" customHeight="true" spans="1:10">
      <c r="A394" s="4" t="str">
        <f t="shared" si="51"/>
        <v>011</v>
      </c>
      <c r="B394" s="4" t="s">
        <v>22</v>
      </c>
      <c r="C394" s="4" t="str">
        <f>"张哲"</f>
        <v>张哲</v>
      </c>
      <c r="D394" s="4" t="str">
        <f>"2021013723"</f>
        <v>2021013723</v>
      </c>
      <c r="E394" s="4" t="str">
        <f>"37"</f>
        <v>37</v>
      </c>
      <c r="F394" s="4" t="str">
        <f>"23"</f>
        <v>23</v>
      </c>
      <c r="G394" s="4" t="s">
        <v>12</v>
      </c>
      <c r="H394" s="5">
        <v>79</v>
      </c>
      <c r="I394" s="4"/>
      <c r="J394" s="4">
        <f>SUMPRODUCT(--((A394=$A$3:$A$2785)*$H$3:$H$2785&gt;H394))+1</f>
        <v>58</v>
      </c>
    </row>
    <row r="395" s="1" customFormat="true" customHeight="true" spans="1:10">
      <c r="A395" s="4" t="str">
        <f t="shared" si="51"/>
        <v>011</v>
      </c>
      <c r="B395" s="4" t="s">
        <v>22</v>
      </c>
      <c r="C395" s="4" t="str">
        <f>"荆璐璐"</f>
        <v>荆璐璐</v>
      </c>
      <c r="D395" s="4" t="str">
        <f>"2021013904"</f>
        <v>2021013904</v>
      </c>
      <c r="E395" s="4" t="str">
        <f>"39"</f>
        <v>39</v>
      </c>
      <c r="F395" s="4" t="str">
        <f>"04"</f>
        <v>04</v>
      </c>
      <c r="G395" s="4" t="s">
        <v>12</v>
      </c>
      <c r="H395" s="5">
        <v>79</v>
      </c>
      <c r="I395" s="4"/>
      <c r="J395" s="4">
        <f>SUMPRODUCT(--((A395=$A$3:$A$2785)*$H$3:$H$2785&gt;H395))+1</f>
        <v>58</v>
      </c>
    </row>
    <row r="396" s="1" customFormat="true" customHeight="true" spans="1:10">
      <c r="A396" s="4" t="str">
        <f t="shared" si="51"/>
        <v>011</v>
      </c>
      <c r="B396" s="4" t="s">
        <v>22</v>
      </c>
      <c r="C396" s="4" t="str">
        <f>"舒缨群"</f>
        <v>舒缨群</v>
      </c>
      <c r="D396" s="4" t="str">
        <f>"2021013627"</f>
        <v>2021013627</v>
      </c>
      <c r="E396" s="4" t="str">
        <f>"36"</f>
        <v>36</v>
      </c>
      <c r="F396" s="4" t="str">
        <f>"27"</f>
        <v>27</v>
      </c>
      <c r="G396" s="4" t="s">
        <v>12</v>
      </c>
      <c r="H396" s="5">
        <v>78.75</v>
      </c>
      <c r="I396" s="4"/>
      <c r="J396" s="4">
        <f>SUMPRODUCT(--((A396=$A$3:$A$2785)*$H$3:$H$2785&gt;H396))+1</f>
        <v>63</v>
      </c>
    </row>
    <row r="397" s="1" customFormat="true" customHeight="true" spans="1:10">
      <c r="A397" s="4" t="str">
        <f t="shared" si="51"/>
        <v>011</v>
      </c>
      <c r="B397" s="4" t="s">
        <v>22</v>
      </c>
      <c r="C397" s="4" t="str">
        <f>"王思葭"</f>
        <v>王思葭</v>
      </c>
      <c r="D397" s="4" t="str">
        <f>"2021014026"</f>
        <v>2021014026</v>
      </c>
      <c r="E397" s="4" t="str">
        <f>"40"</f>
        <v>40</v>
      </c>
      <c r="F397" s="4" t="str">
        <f>"26"</f>
        <v>26</v>
      </c>
      <c r="G397" s="4" t="s">
        <v>12</v>
      </c>
      <c r="H397" s="5">
        <v>78.75</v>
      </c>
      <c r="I397" s="4"/>
      <c r="J397" s="4">
        <f>SUMPRODUCT(--((A397=$A$3:$A$2785)*$H$3:$H$2785&gt;H397))+1</f>
        <v>63</v>
      </c>
    </row>
    <row r="398" s="1" customFormat="true" customHeight="true" spans="1:10">
      <c r="A398" s="4" t="str">
        <f t="shared" ref="A398:A461" si="59">"011"</f>
        <v>011</v>
      </c>
      <c r="B398" s="4" t="s">
        <v>22</v>
      </c>
      <c r="C398" s="4" t="str">
        <f>"彭玉茹"</f>
        <v>彭玉茹</v>
      </c>
      <c r="D398" s="4" t="str">
        <f>"2021013530"</f>
        <v>2021013530</v>
      </c>
      <c r="E398" s="4" t="str">
        <f>"35"</f>
        <v>35</v>
      </c>
      <c r="F398" s="4" t="str">
        <f>"30"</f>
        <v>30</v>
      </c>
      <c r="G398" s="4" t="s">
        <v>12</v>
      </c>
      <c r="H398" s="5">
        <v>78.5</v>
      </c>
      <c r="I398" s="4"/>
      <c r="J398" s="4">
        <f>SUMPRODUCT(--((A398=$A$3:$A$2785)*$H$3:$H$2785&gt;H398))+1</f>
        <v>65</v>
      </c>
    </row>
    <row r="399" s="1" customFormat="true" customHeight="true" spans="1:10">
      <c r="A399" s="4" t="str">
        <f t="shared" si="59"/>
        <v>011</v>
      </c>
      <c r="B399" s="4" t="s">
        <v>22</v>
      </c>
      <c r="C399" s="4" t="str">
        <f>"刘让花"</f>
        <v>刘让花</v>
      </c>
      <c r="D399" s="4" t="str">
        <f>"2021013620"</f>
        <v>2021013620</v>
      </c>
      <c r="E399" s="4" t="str">
        <f>"36"</f>
        <v>36</v>
      </c>
      <c r="F399" s="4" t="str">
        <f>"20"</f>
        <v>20</v>
      </c>
      <c r="G399" s="4" t="s">
        <v>12</v>
      </c>
      <c r="H399" s="5">
        <v>78.5</v>
      </c>
      <c r="I399" s="4"/>
      <c r="J399" s="4">
        <f>SUMPRODUCT(--((A399=$A$3:$A$2785)*$H$3:$H$2785&gt;H399))+1</f>
        <v>65</v>
      </c>
    </row>
    <row r="400" s="1" customFormat="true" customHeight="true" spans="1:10">
      <c r="A400" s="4" t="str">
        <f t="shared" si="59"/>
        <v>011</v>
      </c>
      <c r="B400" s="4" t="s">
        <v>22</v>
      </c>
      <c r="C400" s="4" t="str">
        <f>"向玉倩"</f>
        <v>向玉倩</v>
      </c>
      <c r="D400" s="4" t="str">
        <f>"2021014126"</f>
        <v>2021014126</v>
      </c>
      <c r="E400" s="4" t="str">
        <f>"41"</f>
        <v>41</v>
      </c>
      <c r="F400" s="4" t="str">
        <f>"26"</f>
        <v>26</v>
      </c>
      <c r="G400" s="4" t="s">
        <v>12</v>
      </c>
      <c r="H400" s="5">
        <v>78.5</v>
      </c>
      <c r="I400" s="4"/>
      <c r="J400" s="4">
        <f>SUMPRODUCT(--((A400=$A$3:$A$2785)*$H$3:$H$2785&gt;H400))+1</f>
        <v>65</v>
      </c>
    </row>
    <row r="401" s="1" customFormat="true" customHeight="true" spans="1:10">
      <c r="A401" s="4" t="str">
        <f t="shared" si="59"/>
        <v>011</v>
      </c>
      <c r="B401" s="4" t="s">
        <v>22</v>
      </c>
      <c r="C401" s="4" t="str">
        <f>"严琦"</f>
        <v>严琦</v>
      </c>
      <c r="D401" s="4" t="str">
        <f>"2021013704"</f>
        <v>2021013704</v>
      </c>
      <c r="E401" s="4" t="str">
        <f>"37"</f>
        <v>37</v>
      </c>
      <c r="F401" s="4" t="str">
        <f>"04"</f>
        <v>04</v>
      </c>
      <c r="G401" s="4" t="s">
        <v>12</v>
      </c>
      <c r="H401" s="5">
        <v>78.25</v>
      </c>
      <c r="I401" s="4"/>
      <c r="J401" s="4">
        <f>SUMPRODUCT(--((A401=$A$3:$A$2785)*$H$3:$H$2785&gt;H401))+1</f>
        <v>68</v>
      </c>
    </row>
    <row r="402" s="1" customFormat="true" customHeight="true" spans="1:10">
      <c r="A402" s="4" t="str">
        <f t="shared" si="59"/>
        <v>011</v>
      </c>
      <c r="B402" s="4" t="s">
        <v>22</v>
      </c>
      <c r="C402" s="4" t="str">
        <f>"唐晓林"</f>
        <v>唐晓林</v>
      </c>
      <c r="D402" s="4" t="str">
        <f>"2021014002"</f>
        <v>2021014002</v>
      </c>
      <c r="E402" s="4" t="str">
        <f>"40"</f>
        <v>40</v>
      </c>
      <c r="F402" s="4" t="str">
        <f>"02"</f>
        <v>02</v>
      </c>
      <c r="G402" s="4" t="s">
        <v>12</v>
      </c>
      <c r="H402" s="5">
        <v>78.25</v>
      </c>
      <c r="I402" s="4"/>
      <c r="J402" s="4">
        <f>SUMPRODUCT(--((A402=$A$3:$A$2785)*$H$3:$H$2785&gt;H402))+1</f>
        <v>68</v>
      </c>
    </row>
    <row r="403" s="1" customFormat="true" customHeight="true" spans="1:10">
      <c r="A403" s="4" t="str">
        <f t="shared" si="59"/>
        <v>011</v>
      </c>
      <c r="B403" s="4" t="s">
        <v>22</v>
      </c>
      <c r="C403" s="4" t="str">
        <f>"喻欢叶"</f>
        <v>喻欢叶</v>
      </c>
      <c r="D403" s="4" t="str">
        <f>"2021014004"</f>
        <v>2021014004</v>
      </c>
      <c r="E403" s="4" t="str">
        <f>"40"</f>
        <v>40</v>
      </c>
      <c r="F403" s="4" t="str">
        <f>"04"</f>
        <v>04</v>
      </c>
      <c r="G403" s="4" t="s">
        <v>12</v>
      </c>
      <c r="H403" s="5">
        <v>78</v>
      </c>
      <c r="I403" s="4"/>
      <c r="J403" s="4">
        <f>SUMPRODUCT(--((A403=$A$3:$A$2785)*$H$3:$H$2785&gt;H403))+1</f>
        <v>70</v>
      </c>
    </row>
    <row r="404" s="1" customFormat="true" customHeight="true" spans="1:10">
      <c r="A404" s="4" t="str">
        <f t="shared" si="59"/>
        <v>011</v>
      </c>
      <c r="B404" s="4" t="s">
        <v>22</v>
      </c>
      <c r="C404" s="4" t="str">
        <f>"杨瑶"</f>
        <v>杨瑶</v>
      </c>
      <c r="D404" s="4" t="str">
        <f>"2021013629"</f>
        <v>2021013629</v>
      </c>
      <c r="E404" s="4" t="str">
        <f>"36"</f>
        <v>36</v>
      </c>
      <c r="F404" s="4" t="str">
        <f>"29"</f>
        <v>29</v>
      </c>
      <c r="G404" s="4" t="s">
        <v>12</v>
      </c>
      <c r="H404" s="5">
        <v>77.75</v>
      </c>
      <c r="I404" s="4"/>
      <c r="J404" s="4">
        <f>SUMPRODUCT(--((A404=$A$3:$A$2785)*$H$3:$H$2785&gt;H404))+1</f>
        <v>71</v>
      </c>
    </row>
    <row r="405" s="1" customFormat="true" customHeight="true" spans="1:10">
      <c r="A405" s="4" t="str">
        <f t="shared" si="59"/>
        <v>011</v>
      </c>
      <c r="B405" s="4" t="s">
        <v>22</v>
      </c>
      <c r="C405" s="4" t="str">
        <f>"龙巧儿"</f>
        <v>龙巧儿</v>
      </c>
      <c r="D405" s="4" t="str">
        <f>"2021013701"</f>
        <v>2021013701</v>
      </c>
      <c r="E405" s="4" t="str">
        <f>"37"</f>
        <v>37</v>
      </c>
      <c r="F405" s="4" t="str">
        <f>"01"</f>
        <v>01</v>
      </c>
      <c r="G405" s="4" t="s">
        <v>12</v>
      </c>
      <c r="H405" s="5">
        <v>77.75</v>
      </c>
      <c r="I405" s="4"/>
      <c r="J405" s="4">
        <f>SUMPRODUCT(--((A405=$A$3:$A$2785)*$H$3:$H$2785&gt;H405))+1</f>
        <v>71</v>
      </c>
    </row>
    <row r="406" s="1" customFormat="true" customHeight="true" spans="1:10">
      <c r="A406" s="4" t="str">
        <f t="shared" si="59"/>
        <v>011</v>
      </c>
      <c r="B406" s="4" t="s">
        <v>22</v>
      </c>
      <c r="C406" s="4" t="str">
        <f>"张雪莹"</f>
        <v>张雪莹</v>
      </c>
      <c r="D406" s="4" t="str">
        <f>"2021013801"</f>
        <v>2021013801</v>
      </c>
      <c r="E406" s="4" t="str">
        <f>"38"</f>
        <v>38</v>
      </c>
      <c r="F406" s="4" t="str">
        <f>"01"</f>
        <v>01</v>
      </c>
      <c r="G406" s="4" t="s">
        <v>12</v>
      </c>
      <c r="H406" s="5">
        <v>77.5</v>
      </c>
      <c r="I406" s="4"/>
      <c r="J406" s="4">
        <f>SUMPRODUCT(--((A406=$A$3:$A$2785)*$H$3:$H$2785&gt;H406))+1</f>
        <v>73</v>
      </c>
    </row>
    <row r="407" s="1" customFormat="true" customHeight="true" spans="1:10">
      <c r="A407" s="4" t="str">
        <f t="shared" si="59"/>
        <v>011</v>
      </c>
      <c r="B407" s="4" t="s">
        <v>22</v>
      </c>
      <c r="C407" s="4" t="str">
        <f>"唐兰"</f>
        <v>唐兰</v>
      </c>
      <c r="D407" s="4" t="str">
        <f>"2021013528"</f>
        <v>2021013528</v>
      </c>
      <c r="E407" s="4" t="str">
        <f>"35"</f>
        <v>35</v>
      </c>
      <c r="F407" s="4" t="str">
        <f>"28"</f>
        <v>28</v>
      </c>
      <c r="G407" s="4" t="s">
        <v>12</v>
      </c>
      <c r="H407" s="5">
        <v>77.25</v>
      </c>
      <c r="I407" s="4"/>
      <c r="J407" s="4">
        <f>SUMPRODUCT(--((A407=$A$3:$A$2785)*$H$3:$H$2785&gt;H407))+1</f>
        <v>74</v>
      </c>
    </row>
    <row r="408" s="1" customFormat="true" customHeight="true" spans="1:10">
      <c r="A408" s="4" t="str">
        <f t="shared" si="59"/>
        <v>011</v>
      </c>
      <c r="B408" s="4" t="s">
        <v>22</v>
      </c>
      <c r="C408" s="4" t="str">
        <f>"易诗瑶"</f>
        <v>易诗瑶</v>
      </c>
      <c r="D408" s="4" t="str">
        <f>"2021013824"</f>
        <v>2021013824</v>
      </c>
      <c r="E408" s="4" t="str">
        <f>"38"</f>
        <v>38</v>
      </c>
      <c r="F408" s="4" t="str">
        <f>"24"</f>
        <v>24</v>
      </c>
      <c r="G408" s="4" t="s">
        <v>12</v>
      </c>
      <c r="H408" s="5">
        <v>77.25</v>
      </c>
      <c r="I408" s="4"/>
      <c r="J408" s="4">
        <f>SUMPRODUCT(--((A408=$A$3:$A$2785)*$H$3:$H$2785&gt;H408))+1</f>
        <v>74</v>
      </c>
    </row>
    <row r="409" s="1" customFormat="true" customHeight="true" spans="1:10">
      <c r="A409" s="4" t="str">
        <f t="shared" si="59"/>
        <v>011</v>
      </c>
      <c r="B409" s="4" t="s">
        <v>22</v>
      </c>
      <c r="C409" s="4" t="str">
        <f>"邱夏"</f>
        <v>邱夏</v>
      </c>
      <c r="D409" s="4" t="str">
        <f>"2021013907"</f>
        <v>2021013907</v>
      </c>
      <c r="E409" s="4" t="str">
        <f>"39"</f>
        <v>39</v>
      </c>
      <c r="F409" s="4" t="str">
        <f>"07"</f>
        <v>07</v>
      </c>
      <c r="G409" s="4" t="s">
        <v>12</v>
      </c>
      <c r="H409" s="5">
        <v>77.25</v>
      </c>
      <c r="I409" s="4"/>
      <c r="J409" s="4">
        <f>SUMPRODUCT(--((A409=$A$3:$A$2785)*$H$3:$H$2785&gt;H409))+1</f>
        <v>74</v>
      </c>
    </row>
    <row r="410" s="1" customFormat="true" customHeight="true" spans="1:10">
      <c r="A410" s="4" t="str">
        <f t="shared" si="59"/>
        <v>011</v>
      </c>
      <c r="B410" s="4" t="s">
        <v>22</v>
      </c>
      <c r="C410" s="4" t="str">
        <f>"刘添"</f>
        <v>刘添</v>
      </c>
      <c r="D410" s="4" t="str">
        <f>"2021013923"</f>
        <v>2021013923</v>
      </c>
      <c r="E410" s="4" t="str">
        <f>"39"</f>
        <v>39</v>
      </c>
      <c r="F410" s="4" t="str">
        <f>"23"</f>
        <v>23</v>
      </c>
      <c r="G410" s="4" t="s">
        <v>12</v>
      </c>
      <c r="H410" s="5">
        <v>77.25</v>
      </c>
      <c r="I410" s="4"/>
      <c r="J410" s="4">
        <f>SUMPRODUCT(--((A410=$A$3:$A$2785)*$H$3:$H$2785&gt;H410))+1</f>
        <v>74</v>
      </c>
    </row>
    <row r="411" s="1" customFormat="true" customHeight="true" spans="1:10">
      <c r="A411" s="4" t="str">
        <f t="shared" si="59"/>
        <v>011</v>
      </c>
      <c r="B411" s="4" t="s">
        <v>22</v>
      </c>
      <c r="C411" s="4" t="str">
        <f>"龚群"</f>
        <v>龚群</v>
      </c>
      <c r="D411" s="4" t="str">
        <f>"2021013521"</f>
        <v>2021013521</v>
      </c>
      <c r="E411" s="4" t="str">
        <f>"35"</f>
        <v>35</v>
      </c>
      <c r="F411" s="4" t="str">
        <f>"21"</f>
        <v>21</v>
      </c>
      <c r="G411" s="4" t="s">
        <v>12</v>
      </c>
      <c r="H411" s="5">
        <v>77</v>
      </c>
      <c r="I411" s="4"/>
      <c r="J411" s="4">
        <f>SUMPRODUCT(--((A411=$A$3:$A$2785)*$H$3:$H$2785&gt;H411))+1</f>
        <v>78</v>
      </c>
    </row>
    <row r="412" s="1" customFormat="true" customHeight="true" spans="1:10">
      <c r="A412" s="4" t="str">
        <f t="shared" si="59"/>
        <v>011</v>
      </c>
      <c r="B412" s="4" t="s">
        <v>22</v>
      </c>
      <c r="C412" s="4" t="str">
        <f>"陈檬"</f>
        <v>陈檬</v>
      </c>
      <c r="D412" s="4" t="str">
        <f>"2021013812"</f>
        <v>2021013812</v>
      </c>
      <c r="E412" s="4" t="str">
        <f>"38"</f>
        <v>38</v>
      </c>
      <c r="F412" s="4" t="str">
        <f>"12"</f>
        <v>12</v>
      </c>
      <c r="G412" s="4" t="s">
        <v>12</v>
      </c>
      <c r="H412" s="5">
        <v>77</v>
      </c>
      <c r="I412" s="4"/>
      <c r="J412" s="4">
        <f>SUMPRODUCT(--((A412=$A$3:$A$2785)*$H$3:$H$2785&gt;H412))+1</f>
        <v>78</v>
      </c>
    </row>
    <row r="413" s="1" customFormat="true" customHeight="true" spans="1:10">
      <c r="A413" s="4" t="str">
        <f t="shared" si="59"/>
        <v>011</v>
      </c>
      <c r="B413" s="4" t="s">
        <v>22</v>
      </c>
      <c r="C413" s="4" t="str">
        <f>"张晶"</f>
        <v>张晶</v>
      </c>
      <c r="D413" s="4" t="str">
        <f>"2021013601"</f>
        <v>2021013601</v>
      </c>
      <c r="E413" s="4" t="str">
        <f t="shared" ref="E413:E418" si="60">"36"</f>
        <v>36</v>
      </c>
      <c r="F413" s="4" t="str">
        <f>"01"</f>
        <v>01</v>
      </c>
      <c r="G413" s="4" t="s">
        <v>12</v>
      </c>
      <c r="H413" s="5">
        <v>76.75</v>
      </c>
      <c r="I413" s="4"/>
      <c r="J413" s="4">
        <f>SUMPRODUCT(--((A413=$A$3:$A$2785)*$H$3:$H$2785&gt;H413))+1</f>
        <v>80</v>
      </c>
    </row>
    <row r="414" s="1" customFormat="true" customHeight="true" spans="1:10">
      <c r="A414" s="4" t="str">
        <f t="shared" si="59"/>
        <v>011</v>
      </c>
      <c r="B414" s="4" t="s">
        <v>22</v>
      </c>
      <c r="C414" s="4" t="str">
        <f>"张雅琳"</f>
        <v>张雅琳</v>
      </c>
      <c r="D414" s="4" t="str">
        <f>"2021013610"</f>
        <v>2021013610</v>
      </c>
      <c r="E414" s="4" t="str">
        <f t="shared" si="60"/>
        <v>36</v>
      </c>
      <c r="F414" s="4" t="str">
        <f>"10"</f>
        <v>10</v>
      </c>
      <c r="G414" s="4" t="s">
        <v>12</v>
      </c>
      <c r="H414" s="5">
        <v>76.75</v>
      </c>
      <c r="I414" s="4"/>
      <c r="J414" s="4">
        <f>SUMPRODUCT(--((A414=$A$3:$A$2785)*$H$3:$H$2785&gt;H414))+1</f>
        <v>80</v>
      </c>
    </row>
    <row r="415" s="1" customFormat="true" customHeight="true" spans="1:10">
      <c r="A415" s="4" t="str">
        <f t="shared" si="59"/>
        <v>011</v>
      </c>
      <c r="B415" s="4" t="s">
        <v>22</v>
      </c>
      <c r="C415" s="4" t="str">
        <f>"付裕蓉"</f>
        <v>付裕蓉</v>
      </c>
      <c r="D415" s="4" t="str">
        <f>"2021013715"</f>
        <v>2021013715</v>
      </c>
      <c r="E415" s="4" t="str">
        <f>"37"</f>
        <v>37</v>
      </c>
      <c r="F415" s="4" t="str">
        <f>"15"</f>
        <v>15</v>
      </c>
      <c r="G415" s="4" t="s">
        <v>12</v>
      </c>
      <c r="H415" s="5">
        <v>76.5</v>
      </c>
      <c r="I415" s="4"/>
      <c r="J415" s="4">
        <f>SUMPRODUCT(--((A415=$A$3:$A$2785)*$H$3:$H$2785&gt;H415))+1</f>
        <v>82</v>
      </c>
    </row>
    <row r="416" s="1" customFormat="true" customHeight="true" spans="1:10">
      <c r="A416" s="4" t="str">
        <f t="shared" si="59"/>
        <v>011</v>
      </c>
      <c r="B416" s="4" t="s">
        <v>22</v>
      </c>
      <c r="C416" s="4" t="str">
        <f>"欧家明"</f>
        <v>欧家明</v>
      </c>
      <c r="D416" s="4" t="str">
        <f>"2021014129"</f>
        <v>2021014129</v>
      </c>
      <c r="E416" s="4" t="str">
        <f>"41"</f>
        <v>41</v>
      </c>
      <c r="F416" s="4" t="str">
        <f>"29"</f>
        <v>29</v>
      </c>
      <c r="G416" s="4" t="s">
        <v>12</v>
      </c>
      <c r="H416" s="5">
        <v>76.5</v>
      </c>
      <c r="I416" s="4"/>
      <c r="J416" s="4">
        <f>SUMPRODUCT(--((A416=$A$3:$A$2785)*$H$3:$H$2785&gt;H416))+1</f>
        <v>82</v>
      </c>
    </row>
    <row r="417" s="1" customFormat="true" customHeight="true" spans="1:10">
      <c r="A417" s="4" t="str">
        <f t="shared" si="59"/>
        <v>011</v>
      </c>
      <c r="B417" s="4" t="s">
        <v>22</v>
      </c>
      <c r="C417" s="4" t="str">
        <f>"王良静"</f>
        <v>王良静</v>
      </c>
      <c r="D417" s="4" t="str">
        <f>"2021013524"</f>
        <v>2021013524</v>
      </c>
      <c r="E417" s="4" t="str">
        <f>"35"</f>
        <v>35</v>
      </c>
      <c r="F417" s="4" t="str">
        <f>"24"</f>
        <v>24</v>
      </c>
      <c r="G417" s="4" t="s">
        <v>12</v>
      </c>
      <c r="H417" s="5">
        <v>76</v>
      </c>
      <c r="I417" s="4"/>
      <c r="J417" s="4">
        <f>SUMPRODUCT(--((A417=$A$3:$A$2785)*$H$3:$H$2785&gt;H417))+1</f>
        <v>84</v>
      </c>
    </row>
    <row r="418" s="1" customFormat="true" customHeight="true" spans="1:10">
      <c r="A418" s="4" t="str">
        <f t="shared" si="59"/>
        <v>011</v>
      </c>
      <c r="B418" s="4" t="s">
        <v>22</v>
      </c>
      <c r="C418" s="4" t="str">
        <f>"王娟"</f>
        <v>王娟</v>
      </c>
      <c r="D418" s="4" t="str">
        <f>"2021013618"</f>
        <v>2021013618</v>
      </c>
      <c r="E418" s="4" t="str">
        <f t="shared" si="60"/>
        <v>36</v>
      </c>
      <c r="F418" s="4" t="str">
        <f>"18"</f>
        <v>18</v>
      </c>
      <c r="G418" s="4" t="s">
        <v>12</v>
      </c>
      <c r="H418" s="5">
        <v>75.75</v>
      </c>
      <c r="I418" s="4"/>
      <c r="J418" s="4">
        <f>SUMPRODUCT(--((A418=$A$3:$A$2785)*$H$3:$H$2785&gt;H418))+1</f>
        <v>85</v>
      </c>
    </row>
    <row r="419" s="1" customFormat="true" customHeight="true" spans="1:10">
      <c r="A419" s="4" t="str">
        <f t="shared" si="59"/>
        <v>011</v>
      </c>
      <c r="B419" s="4" t="s">
        <v>22</v>
      </c>
      <c r="C419" s="4" t="str">
        <f>"舒雅莉"</f>
        <v>舒雅莉</v>
      </c>
      <c r="D419" s="4" t="str">
        <f>"2021013817"</f>
        <v>2021013817</v>
      </c>
      <c r="E419" s="4" t="str">
        <f t="shared" ref="E419:E424" si="61">"38"</f>
        <v>38</v>
      </c>
      <c r="F419" s="4" t="str">
        <f>"17"</f>
        <v>17</v>
      </c>
      <c r="G419" s="4" t="s">
        <v>12</v>
      </c>
      <c r="H419" s="5">
        <v>75.75</v>
      </c>
      <c r="I419" s="4"/>
      <c r="J419" s="4">
        <f>SUMPRODUCT(--((A419=$A$3:$A$2785)*$H$3:$H$2785&gt;H419))+1</f>
        <v>85</v>
      </c>
    </row>
    <row r="420" s="1" customFormat="true" customHeight="true" spans="1:10">
      <c r="A420" s="4" t="str">
        <f t="shared" si="59"/>
        <v>011</v>
      </c>
      <c r="B420" s="4" t="s">
        <v>22</v>
      </c>
      <c r="C420" s="4" t="str">
        <f>"吴欣怡"</f>
        <v>吴欣怡</v>
      </c>
      <c r="D420" s="4" t="str">
        <f>"2021013909"</f>
        <v>2021013909</v>
      </c>
      <c r="E420" s="4" t="str">
        <f>"39"</f>
        <v>39</v>
      </c>
      <c r="F420" s="4" t="str">
        <f>"09"</f>
        <v>09</v>
      </c>
      <c r="G420" s="4" t="s">
        <v>12</v>
      </c>
      <c r="H420" s="5">
        <v>75.75</v>
      </c>
      <c r="I420" s="4"/>
      <c r="J420" s="4">
        <f>SUMPRODUCT(--((A420=$A$3:$A$2785)*$H$3:$H$2785&gt;H420))+1</f>
        <v>85</v>
      </c>
    </row>
    <row r="421" s="1" customFormat="true" customHeight="true" spans="1:10">
      <c r="A421" s="4" t="str">
        <f t="shared" si="59"/>
        <v>011</v>
      </c>
      <c r="B421" s="4" t="s">
        <v>22</v>
      </c>
      <c r="C421" s="4" t="str">
        <f>"王晓蒙"</f>
        <v>王晓蒙</v>
      </c>
      <c r="D421" s="4" t="str">
        <f>"2021014027"</f>
        <v>2021014027</v>
      </c>
      <c r="E421" s="4" t="str">
        <f>"40"</f>
        <v>40</v>
      </c>
      <c r="F421" s="4" t="str">
        <f>"27"</f>
        <v>27</v>
      </c>
      <c r="G421" s="4" t="s">
        <v>12</v>
      </c>
      <c r="H421" s="5">
        <v>75.75</v>
      </c>
      <c r="I421" s="4"/>
      <c r="J421" s="4">
        <f>SUMPRODUCT(--((A421=$A$3:$A$2785)*$H$3:$H$2785&gt;H421))+1</f>
        <v>85</v>
      </c>
    </row>
    <row r="422" s="1" customFormat="true" customHeight="true" spans="1:10">
      <c r="A422" s="4" t="str">
        <f t="shared" si="59"/>
        <v>011</v>
      </c>
      <c r="B422" s="4" t="s">
        <v>22</v>
      </c>
      <c r="C422" s="4" t="str">
        <f>"谢芝梅"</f>
        <v>谢芝梅</v>
      </c>
      <c r="D422" s="4" t="str">
        <f>"2021013729"</f>
        <v>2021013729</v>
      </c>
      <c r="E422" s="4" t="str">
        <f>"37"</f>
        <v>37</v>
      </c>
      <c r="F422" s="4" t="str">
        <f>"29"</f>
        <v>29</v>
      </c>
      <c r="G422" s="4" t="s">
        <v>12</v>
      </c>
      <c r="H422" s="5">
        <v>75.5</v>
      </c>
      <c r="I422" s="4"/>
      <c r="J422" s="4">
        <f>SUMPRODUCT(--((A422=$A$3:$A$2785)*$H$3:$H$2785&gt;H422))+1</f>
        <v>89</v>
      </c>
    </row>
    <row r="423" s="1" customFormat="true" customHeight="true" spans="1:10">
      <c r="A423" s="4" t="str">
        <f t="shared" si="59"/>
        <v>011</v>
      </c>
      <c r="B423" s="4" t="s">
        <v>22</v>
      </c>
      <c r="C423" s="4" t="str">
        <f>"江霓"</f>
        <v>江霓</v>
      </c>
      <c r="D423" s="4" t="str">
        <f>"2021013811"</f>
        <v>2021013811</v>
      </c>
      <c r="E423" s="4" t="str">
        <f t="shared" si="61"/>
        <v>38</v>
      </c>
      <c r="F423" s="4" t="str">
        <f>"11"</f>
        <v>11</v>
      </c>
      <c r="G423" s="4" t="s">
        <v>12</v>
      </c>
      <c r="H423" s="5">
        <v>75.5</v>
      </c>
      <c r="I423" s="4"/>
      <c r="J423" s="4">
        <f>SUMPRODUCT(--((A423=$A$3:$A$2785)*$H$3:$H$2785&gt;H423))+1</f>
        <v>89</v>
      </c>
    </row>
    <row r="424" s="1" customFormat="true" customHeight="true" spans="1:10">
      <c r="A424" s="4" t="str">
        <f t="shared" si="59"/>
        <v>011</v>
      </c>
      <c r="B424" s="4" t="s">
        <v>22</v>
      </c>
      <c r="C424" s="4" t="str">
        <f>"赵小娟"</f>
        <v>赵小娟</v>
      </c>
      <c r="D424" s="4" t="str">
        <f>"2021013815"</f>
        <v>2021013815</v>
      </c>
      <c r="E424" s="4" t="str">
        <f t="shared" si="61"/>
        <v>38</v>
      </c>
      <c r="F424" s="4" t="str">
        <f>"15"</f>
        <v>15</v>
      </c>
      <c r="G424" s="4" t="s">
        <v>12</v>
      </c>
      <c r="H424" s="5">
        <v>75.5</v>
      </c>
      <c r="I424" s="4"/>
      <c r="J424" s="4">
        <f>SUMPRODUCT(--((A424=$A$3:$A$2785)*$H$3:$H$2785&gt;H424))+1</f>
        <v>89</v>
      </c>
    </row>
    <row r="425" s="1" customFormat="true" customHeight="true" spans="1:10">
      <c r="A425" s="4" t="str">
        <f t="shared" si="59"/>
        <v>011</v>
      </c>
      <c r="B425" s="4" t="s">
        <v>22</v>
      </c>
      <c r="C425" s="4" t="str">
        <f>"钟震宇"</f>
        <v>钟震宇</v>
      </c>
      <c r="D425" s="4" t="str">
        <f>"2021013917"</f>
        <v>2021013917</v>
      </c>
      <c r="E425" s="4" t="str">
        <f>"39"</f>
        <v>39</v>
      </c>
      <c r="F425" s="4" t="str">
        <f>"17"</f>
        <v>17</v>
      </c>
      <c r="G425" s="4" t="s">
        <v>12</v>
      </c>
      <c r="H425" s="5">
        <v>75.25</v>
      </c>
      <c r="I425" s="4"/>
      <c r="J425" s="4">
        <f>SUMPRODUCT(--((A425=$A$3:$A$2785)*$H$3:$H$2785&gt;H425))+1</f>
        <v>92</v>
      </c>
    </row>
    <row r="426" s="1" customFormat="true" customHeight="true" spans="1:10">
      <c r="A426" s="4" t="str">
        <f t="shared" si="59"/>
        <v>011</v>
      </c>
      <c r="B426" s="4" t="s">
        <v>22</v>
      </c>
      <c r="C426" s="4" t="str">
        <f>"袁东琼"</f>
        <v>袁东琼</v>
      </c>
      <c r="D426" s="4" t="str">
        <f>"2021014029"</f>
        <v>2021014029</v>
      </c>
      <c r="E426" s="4" t="str">
        <f t="shared" ref="E426:E431" si="62">"40"</f>
        <v>40</v>
      </c>
      <c r="F426" s="4" t="str">
        <f>"29"</f>
        <v>29</v>
      </c>
      <c r="G426" s="4" t="s">
        <v>12</v>
      </c>
      <c r="H426" s="5">
        <v>74.75</v>
      </c>
      <c r="I426" s="4"/>
      <c r="J426" s="4">
        <f>SUMPRODUCT(--((A426=$A$3:$A$2785)*$H$3:$H$2785&gt;H426))+1</f>
        <v>93</v>
      </c>
    </row>
    <row r="427" s="1" customFormat="true" customHeight="true" spans="1:10">
      <c r="A427" s="4" t="str">
        <f t="shared" si="59"/>
        <v>011</v>
      </c>
      <c r="B427" s="4" t="s">
        <v>22</v>
      </c>
      <c r="C427" s="4" t="str">
        <f>"刘宇群"</f>
        <v>刘宇群</v>
      </c>
      <c r="D427" s="4" t="str">
        <f>"2021013918"</f>
        <v>2021013918</v>
      </c>
      <c r="E427" s="4" t="str">
        <f>"39"</f>
        <v>39</v>
      </c>
      <c r="F427" s="4" t="str">
        <f>"18"</f>
        <v>18</v>
      </c>
      <c r="G427" s="4" t="s">
        <v>12</v>
      </c>
      <c r="H427" s="5">
        <v>74.5</v>
      </c>
      <c r="I427" s="4"/>
      <c r="J427" s="4">
        <f>SUMPRODUCT(--((A427=$A$3:$A$2785)*$H$3:$H$2785&gt;H427))+1</f>
        <v>94</v>
      </c>
    </row>
    <row r="428" s="1" customFormat="true" customHeight="true" spans="1:10">
      <c r="A428" s="4" t="str">
        <f t="shared" si="59"/>
        <v>011</v>
      </c>
      <c r="B428" s="4" t="s">
        <v>22</v>
      </c>
      <c r="C428" s="4" t="str">
        <f>"彭程"</f>
        <v>彭程</v>
      </c>
      <c r="D428" s="4" t="str">
        <f>"2021013703"</f>
        <v>2021013703</v>
      </c>
      <c r="E428" s="4" t="str">
        <f>"37"</f>
        <v>37</v>
      </c>
      <c r="F428" s="4" t="str">
        <f>"03"</f>
        <v>03</v>
      </c>
      <c r="G428" s="4" t="s">
        <v>12</v>
      </c>
      <c r="H428" s="5">
        <v>74</v>
      </c>
      <c r="I428" s="4"/>
      <c r="J428" s="4">
        <f>SUMPRODUCT(--((A428=$A$3:$A$2785)*$H$3:$H$2785&gt;H428))+1</f>
        <v>95</v>
      </c>
    </row>
    <row r="429" s="1" customFormat="true" customHeight="true" spans="1:10">
      <c r="A429" s="4" t="str">
        <f t="shared" si="59"/>
        <v>011</v>
      </c>
      <c r="B429" s="4" t="s">
        <v>22</v>
      </c>
      <c r="C429" s="4" t="str">
        <f>"尤秋霞"</f>
        <v>尤秋霞</v>
      </c>
      <c r="D429" s="4" t="str">
        <f>"2021014105"</f>
        <v>2021014105</v>
      </c>
      <c r="E429" s="4" t="str">
        <f>"41"</f>
        <v>41</v>
      </c>
      <c r="F429" s="4" t="str">
        <f>"05"</f>
        <v>05</v>
      </c>
      <c r="G429" s="4" t="s">
        <v>12</v>
      </c>
      <c r="H429" s="5">
        <v>73</v>
      </c>
      <c r="I429" s="4"/>
      <c r="J429" s="4">
        <f>SUMPRODUCT(--((A429=$A$3:$A$2785)*$H$3:$H$2785&gt;H429))+1</f>
        <v>96</v>
      </c>
    </row>
    <row r="430" s="1" customFormat="true" customHeight="true" spans="1:10">
      <c r="A430" s="4" t="str">
        <f t="shared" si="59"/>
        <v>011</v>
      </c>
      <c r="B430" s="4" t="s">
        <v>22</v>
      </c>
      <c r="C430" s="4" t="str">
        <f>"赵瑾亮"</f>
        <v>赵瑾亮</v>
      </c>
      <c r="D430" s="4" t="str">
        <f>"2021014025"</f>
        <v>2021014025</v>
      </c>
      <c r="E430" s="4" t="str">
        <f t="shared" si="62"/>
        <v>40</v>
      </c>
      <c r="F430" s="4" t="str">
        <f>"25"</f>
        <v>25</v>
      </c>
      <c r="G430" s="4" t="s">
        <v>12</v>
      </c>
      <c r="H430" s="5">
        <v>72.5</v>
      </c>
      <c r="I430" s="4"/>
      <c r="J430" s="4">
        <f>SUMPRODUCT(--((A430=$A$3:$A$2785)*$H$3:$H$2785&gt;H430))+1</f>
        <v>97</v>
      </c>
    </row>
    <row r="431" s="1" customFormat="true" customHeight="true" spans="1:10">
      <c r="A431" s="4" t="str">
        <f t="shared" si="59"/>
        <v>011</v>
      </c>
      <c r="B431" s="4" t="s">
        <v>22</v>
      </c>
      <c r="C431" s="4" t="str">
        <f>"瞿梓璇"</f>
        <v>瞿梓璇</v>
      </c>
      <c r="D431" s="4" t="str">
        <f>"2021014019"</f>
        <v>2021014019</v>
      </c>
      <c r="E431" s="4" t="str">
        <f t="shared" si="62"/>
        <v>40</v>
      </c>
      <c r="F431" s="4" t="str">
        <f>"19"</f>
        <v>19</v>
      </c>
      <c r="G431" s="4" t="s">
        <v>12</v>
      </c>
      <c r="H431" s="5">
        <v>72.25</v>
      </c>
      <c r="I431" s="4"/>
      <c r="J431" s="4">
        <f>SUMPRODUCT(--((A431=$A$3:$A$2785)*$H$3:$H$2785&gt;H431))+1</f>
        <v>98</v>
      </c>
    </row>
    <row r="432" s="1" customFormat="true" customHeight="true" spans="1:10">
      <c r="A432" s="4" t="str">
        <f t="shared" si="59"/>
        <v>011</v>
      </c>
      <c r="B432" s="4" t="s">
        <v>22</v>
      </c>
      <c r="C432" s="4" t="str">
        <f>"陈红"</f>
        <v>陈红</v>
      </c>
      <c r="D432" s="4" t="str">
        <f>"2021013722"</f>
        <v>2021013722</v>
      </c>
      <c r="E432" s="4" t="str">
        <f>"37"</f>
        <v>37</v>
      </c>
      <c r="F432" s="4" t="str">
        <f>"22"</f>
        <v>22</v>
      </c>
      <c r="G432" s="4" t="s">
        <v>12</v>
      </c>
      <c r="H432" s="5">
        <v>71.5</v>
      </c>
      <c r="I432" s="4"/>
      <c r="J432" s="4">
        <f>SUMPRODUCT(--((A432=$A$3:$A$2785)*$H$3:$H$2785&gt;H432))+1</f>
        <v>99</v>
      </c>
    </row>
    <row r="433" s="1" customFormat="true" customHeight="true" spans="1:10">
      <c r="A433" s="4" t="str">
        <f t="shared" si="59"/>
        <v>011</v>
      </c>
      <c r="B433" s="4" t="s">
        <v>22</v>
      </c>
      <c r="C433" s="4" t="str">
        <f>"陈宗芳"</f>
        <v>陈宗芳</v>
      </c>
      <c r="D433" s="4" t="str">
        <f>"2021014122"</f>
        <v>2021014122</v>
      </c>
      <c r="E433" s="4" t="str">
        <f>"41"</f>
        <v>41</v>
      </c>
      <c r="F433" s="4" t="str">
        <f>"22"</f>
        <v>22</v>
      </c>
      <c r="G433" s="4" t="s">
        <v>12</v>
      </c>
      <c r="H433" s="5">
        <v>71.5</v>
      </c>
      <c r="I433" s="4"/>
      <c r="J433" s="4">
        <f>SUMPRODUCT(--((A433=$A$3:$A$2785)*$H$3:$H$2785&gt;H433))+1</f>
        <v>99</v>
      </c>
    </row>
    <row r="434" s="1" customFormat="true" customHeight="true" spans="1:10">
      <c r="A434" s="4" t="str">
        <f t="shared" si="59"/>
        <v>011</v>
      </c>
      <c r="B434" s="4" t="s">
        <v>22</v>
      </c>
      <c r="C434" s="4" t="str">
        <f>"张雅"</f>
        <v>张雅</v>
      </c>
      <c r="D434" s="4" t="str">
        <f>"2021013516"</f>
        <v>2021013516</v>
      </c>
      <c r="E434" s="4" t="str">
        <f>"35"</f>
        <v>35</v>
      </c>
      <c r="F434" s="4" t="str">
        <f>"16"</f>
        <v>16</v>
      </c>
      <c r="G434" s="4" t="s">
        <v>12</v>
      </c>
      <c r="H434" s="5">
        <v>71.25</v>
      </c>
      <c r="I434" s="4"/>
      <c r="J434" s="4">
        <f>SUMPRODUCT(--((A434=$A$3:$A$2785)*$H$3:$H$2785&gt;H434))+1</f>
        <v>101</v>
      </c>
    </row>
    <row r="435" s="1" customFormat="true" customHeight="true" spans="1:10">
      <c r="A435" s="4" t="str">
        <f t="shared" si="59"/>
        <v>011</v>
      </c>
      <c r="B435" s="4" t="s">
        <v>22</v>
      </c>
      <c r="C435" s="4" t="str">
        <f>"李娜"</f>
        <v>李娜</v>
      </c>
      <c r="D435" s="4" t="str">
        <f>"2021013914"</f>
        <v>2021013914</v>
      </c>
      <c r="E435" s="4" t="str">
        <f>"39"</f>
        <v>39</v>
      </c>
      <c r="F435" s="4" t="str">
        <f>"14"</f>
        <v>14</v>
      </c>
      <c r="G435" s="4" t="s">
        <v>12</v>
      </c>
      <c r="H435" s="5">
        <v>71.25</v>
      </c>
      <c r="I435" s="4"/>
      <c r="J435" s="4">
        <f>SUMPRODUCT(--((A435=$A$3:$A$2785)*$H$3:$H$2785&gt;H435))+1</f>
        <v>101</v>
      </c>
    </row>
    <row r="436" s="1" customFormat="true" customHeight="true" spans="1:10">
      <c r="A436" s="4" t="str">
        <f t="shared" si="59"/>
        <v>011</v>
      </c>
      <c r="B436" s="4" t="s">
        <v>22</v>
      </c>
      <c r="C436" s="4" t="str">
        <f>"刘成"</f>
        <v>刘成</v>
      </c>
      <c r="D436" s="4" t="str">
        <f>"2021014103"</f>
        <v>2021014103</v>
      </c>
      <c r="E436" s="4" t="str">
        <f>"41"</f>
        <v>41</v>
      </c>
      <c r="F436" s="4" t="str">
        <f>"03"</f>
        <v>03</v>
      </c>
      <c r="G436" s="4" t="s">
        <v>12</v>
      </c>
      <c r="H436" s="5">
        <v>71.25</v>
      </c>
      <c r="I436" s="4"/>
      <c r="J436" s="4">
        <f>SUMPRODUCT(--((A436=$A$3:$A$2785)*$H$3:$H$2785&gt;H436))+1</f>
        <v>101</v>
      </c>
    </row>
    <row r="437" s="1" customFormat="true" customHeight="true" spans="1:10">
      <c r="A437" s="4" t="str">
        <f t="shared" si="59"/>
        <v>011</v>
      </c>
      <c r="B437" s="4" t="s">
        <v>22</v>
      </c>
      <c r="C437" s="4" t="str">
        <f>"田琴"</f>
        <v>田琴</v>
      </c>
      <c r="D437" s="4" t="str">
        <f>"2021013813"</f>
        <v>2021013813</v>
      </c>
      <c r="E437" s="4" t="str">
        <f>"38"</f>
        <v>38</v>
      </c>
      <c r="F437" s="4" t="str">
        <f>"13"</f>
        <v>13</v>
      </c>
      <c r="G437" s="4" t="s">
        <v>12</v>
      </c>
      <c r="H437" s="5">
        <v>71</v>
      </c>
      <c r="I437" s="4"/>
      <c r="J437" s="4">
        <f>SUMPRODUCT(--((A437=$A$3:$A$2785)*$H$3:$H$2785&gt;H437))+1</f>
        <v>104</v>
      </c>
    </row>
    <row r="438" s="1" customFormat="true" customHeight="true" spans="1:10">
      <c r="A438" s="4" t="str">
        <f t="shared" si="59"/>
        <v>011</v>
      </c>
      <c r="B438" s="4" t="s">
        <v>22</v>
      </c>
      <c r="C438" s="4" t="str">
        <f>"宋梦莹"</f>
        <v>宋梦莹</v>
      </c>
      <c r="D438" s="4" t="str">
        <f>"2021013617"</f>
        <v>2021013617</v>
      </c>
      <c r="E438" s="4" t="str">
        <f t="shared" ref="E438:E443" si="63">"36"</f>
        <v>36</v>
      </c>
      <c r="F438" s="4" t="str">
        <f>"17"</f>
        <v>17</v>
      </c>
      <c r="G438" s="4" t="s">
        <v>12</v>
      </c>
      <c r="H438" s="5">
        <v>70</v>
      </c>
      <c r="I438" s="4"/>
      <c r="J438" s="4">
        <f>SUMPRODUCT(--((A438=$A$3:$A$2785)*$H$3:$H$2785&gt;H438))+1</f>
        <v>105</v>
      </c>
    </row>
    <row r="439" s="1" customFormat="true" customHeight="true" spans="1:10">
      <c r="A439" s="4" t="str">
        <f t="shared" si="59"/>
        <v>011</v>
      </c>
      <c r="B439" s="4" t="s">
        <v>22</v>
      </c>
      <c r="C439" s="4" t="str">
        <f>"杨芳"</f>
        <v>杨芳</v>
      </c>
      <c r="D439" s="4" t="str">
        <f>"2021013713"</f>
        <v>2021013713</v>
      </c>
      <c r="E439" s="4" t="str">
        <f>"37"</f>
        <v>37</v>
      </c>
      <c r="F439" s="4" t="str">
        <f>"13"</f>
        <v>13</v>
      </c>
      <c r="G439" s="4" t="s">
        <v>12</v>
      </c>
      <c r="H439" s="5">
        <v>69.75</v>
      </c>
      <c r="I439" s="4"/>
      <c r="J439" s="4">
        <f>SUMPRODUCT(--((A439=$A$3:$A$2785)*$H$3:$H$2785&gt;H439))+1</f>
        <v>106</v>
      </c>
    </row>
    <row r="440" s="1" customFormat="true" customHeight="true" spans="1:10">
      <c r="A440" s="4" t="str">
        <f t="shared" si="59"/>
        <v>011</v>
      </c>
      <c r="B440" s="4" t="s">
        <v>22</v>
      </c>
      <c r="C440" s="4" t="str">
        <f>"李镓杏"</f>
        <v>李镓杏</v>
      </c>
      <c r="D440" s="4" t="str">
        <f>"2021013603"</f>
        <v>2021013603</v>
      </c>
      <c r="E440" s="4" t="str">
        <f t="shared" si="63"/>
        <v>36</v>
      </c>
      <c r="F440" s="4" t="str">
        <f>"03"</f>
        <v>03</v>
      </c>
      <c r="G440" s="4" t="s">
        <v>12</v>
      </c>
      <c r="H440" s="5">
        <v>69.25</v>
      </c>
      <c r="I440" s="4"/>
      <c r="J440" s="4">
        <f>SUMPRODUCT(--((A440=$A$3:$A$2785)*$H$3:$H$2785&gt;H440))+1</f>
        <v>107</v>
      </c>
    </row>
    <row r="441" s="1" customFormat="true" customHeight="true" spans="1:10">
      <c r="A441" s="4" t="str">
        <f t="shared" si="59"/>
        <v>011</v>
      </c>
      <c r="B441" s="4" t="s">
        <v>22</v>
      </c>
      <c r="C441" s="4" t="str">
        <f>"谭文华"</f>
        <v>谭文华</v>
      </c>
      <c r="D441" s="4" t="str">
        <f>"2021013523"</f>
        <v>2021013523</v>
      </c>
      <c r="E441" s="4" t="str">
        <f>"35"</f>
        <v>35</v>
      </c>
      <c r="F441" s="4" t="str">
        <f>"23"</f>
        <v>23</v>
      </c>
      <c r="G441" s="4" t="s">
        <v>12</v>
      </c>
      <c r="H441" s="5">
        <v>69</v>
      </c>
      <c r="I441" s="4"/>
      <c r="J441" s="4">
        <f>SUMPRODUCT(--((A441=$A$3:$A$2785)*$H$3:$H$2785&gt;H441))+1</f>
        <v>108</v>
      </c>
    </row>
    <row r="442" s="1" customFormat="true" customHeight="true" spans="1:10">
      <c r="A442" s="4" t="str">
        <f t="shared" si="59"/>
        <v>011</v>
      </c>
      <c r="B442" s="4" t="s">
        <v>22</v>
      </c>
      <c r="C442" s="4" t="str">
        <f>"佘骞"</f>
        <v>佘骞</v>
      </c>
      <c r="D442" s="4" t="str">
        <f>"2021013522"</f>
        <v>2021013522</v>
      </c>
      <c r="E442" s="4" t="str">
        <f>"35"</f>
        <v>35</v>
      </c>
      <c r="F442" s="4" t="str">
        <f>"22"</f>
        <v>22</v>
      </c>
      <c r="G442" s="4" t="s">
        <v>12</v>
      </c>
      <c r="H442" s="5">
        <v>68.5</v>
      </c>
      <c r="I442" s="4"/>
      <c r="J442" s="4">
        <f>SUMPRODUCT(--((A442=$A$3:$A$2785)*$H$3:$H$2785&gt;H442))+1</f>
        <v>109</v>
      </c>
    </row>
    <row r="443" s="1" customFormat="true" customHeight="true" spans="1:10">
      <c r="A443" s="4" t="str">
        <f t="shared" si="59"/>
        <v>011</v>
      </c>
      <c r="B443" s="4" t="s">
        <v>22</v>
      </c>
      <c r="C443" s="4" t="str">
        <f>"黄穗玲"</f>
        <v>黄穗玲</v>
      </c>
      <c r="D443" s="4" t="str">
        <f>"2021013612"</f>
        <v>2021013612</v>
      </c>
      <c r="E443" s="4" t="str">
        <f t="shared" si="63"/>
        <v>36</v>
      </c>
      <c r="F443" s="4" t="str">
        <f>"12"</f>
        <v>12</v>
      </c>
      <c r="G443" s="4" t="s">
        <v>12</v>
      </c>
      <c r="H443" s="5">
        <v>68.5</v>
      </c>
      <c r="I443" s="4"/>
      <c r="J443" s="4">
        <f>SUMPRODUCT(--((A443=$A$3:$A$2785)*$H$3:$H$2785&gt;H443))+1</f>
        <v>109</v>
      </c>
    </row>
    <row r="444" s="1" customFormat="true" customHeight="true" spans="1:10">
      <c r="A444" s="4" t="str">
        <f t="shared" si="59"/>
        <v>011</v>
      </c>
      <c r="B444" s="4" t="s">
        <v>22</v>
      </c>
      <c r="C444" s="4" t="str">
        <f>"龙暄"</f>
        <v>龙暄</v>
      </c>
      <c r="D444" s="4" t="str">
        <f>"2021013711"</f>
        <v>2021013711</v>
      </c>
      <c r="E444" s="4" t="str">
        <f>"37"</f>
        <v>37</v>
      </c>
      <c r="F444" s="4" t="str">
        <f>"11"</f>
        <v>11</v>
      </c>
      <c r="G444" s="4" t="s">
        <v>12</v>
      </c>
      <c r="H444" s="5">
        <v>68.25</v>
      </c>
      <c r="I444" s="4"/>
      <c r="J444" s="4">
        <f>SUMPRODUCT(--((A444=$A$3:$A$2785)*$H$3:$H$2785&gt;H444))+1</f>
        <v>111</v>
      </c>
    </row>
    <row r="445" s="1" customFormat="true" customHeight="true" spans="1:10">
      <c r="A445" s="4" t="str">
        <f t="shared" si="59"/>
        <v>011</v>
      </c>
      <c r="B445" s="4" t="s">
        <v>22</v>
      </c>
      <c r="C445" s="4" t="str">
        <f>"杨群"</f>
        <v>杨群</v>
      </c>
      <c r="D445" s="4" t="str">
        <f>"2021013911"</f>
        <v>2021013911</v>
      </c>
      <c r="E445" s="4" t="str">
        <f>"39"</f>
        <v>39</v>
      </c>
      <c r="F445" s="4" t="str">
        <f>"11"</f>
        <v>11</v>
      </c>
      <c r="G445" s="4" t="s">
        <v>12</v>
      </c>
      <c r="H445" s="5">
        <v>68</v>
      </c>
      <c r="I445" s="4"/>
      <c r="J445" s="4">
        <f>SUMPRODUCT(--((A445=$A$3:$A$2785)*$H$3:$H$2785&gt;H445))+1</f>
        <v>112</v>
      </c>
    </row>
    <row r="446" s="1" customFormat="true" customHeight="true" spans="1:10">
      <c r="A446" s="4" t="str">
        <f t="shared" si="59"/>
        <v>011</v>
      </c>
      <c r="B446" s="4" t="s">
        <v>22</v>
      </c>
      <c r="C446" s="4" t="str">
        <f>"冯雨萱"</f>
        <v>冯雨萱</v>
      </c>
      <c r="D446" s="4" t="str">
        <f>"2021014021"</f>
        <v>2021014021</v>
      </c>
      <c r="E446" s="4" t="str">
        <f>"40"</f>
        <v>40</v>
      </c>
      <c r="F446" s="4" t="str">
        <f>"21"</f>
        <v>21</v>
      </c>
      <c r="G446" s="4" t="s">
        <v>12</v>
      </c>
      <c r="H446" s="5">
        <v>62</v>
      </c>
      <c r="I446" s="4"/>
      <c r="J446" s="4">
        <f>SUMPRODUCT(--((A446=$A$3:$A$2785)*$H$3:$H$2785&gt;H446))+1</f>
        <v>113</v>
      </c>
    </row>
    <row r="447" s="1" customFormat="true" customHeight="true" spans="1:10">
      <c r="A447" s="4" t="str">
        <f t="shared" si="59"/>
        <v>011</v>
      </c>
      <c r="B447" s="4" t="s">
        <v>22</v>
      </c>
      <c r="C447" s="4" t="str">
        <f>"向叶帆"</f>
        <v>向叶帆</v>
      </c>
      <c r="D447" s="4" t="str">
        <f>"2021013517"</f>
        <v>2021013517</v>
      </c>
      <c r="E447" s="4" t="str">
        <f t="shared" ref="E447:E452" si="64">"35"</f>
        <v>35</v>
      </c>
      <c r="F447" s="4" t="str">
        <f>"17"</f>
        <v>17</v>
      </c>
      <c r="G447" s="4" t="s">
        <v>12</v>
      </c>
      <c r="H447" s="5">
        <v>0</v>
      </c>
      <c r="I447" s="6" t="s">
        <v>13</v>
      </c>
      <c r="J447" s="4">
        <f>SUMPRODUCT(--((A447=$A$3:$A$2785)*$H$3:$H$2785&gt;H447))+1</f>
        <v>114</v>
      </c>
    </row>
    <row r="448" s="1" customFormat="true" customHeight="true" spans="1:10">
      <c r="A448" s="4" t="str">
        <f t="shared" si="59"/>
        <v>011</v>
      </c>
      <c r="B448" s="4" t="s">
        <v>22</v>
      </c>
      <c r="C448" s="4" t="str">
        <f>"舒保聚"</f>
        <v>舒保聚</v>
      </c>
      <c r="D448" s="4" t="str">
        <f>"2021013518"</f>
        <v>2021013518</v>
      </c>
      <c r="E448" s="4" t="str">
        <f t="shared" si="64"/>
        <v>35</v>
      </c>
      <c r="F448" s="4" t="str">
        <f>"18"</f>
        <v>18</v>
      </c>
      <c r="G448" s="4" t="s">
        <v>12</v>
      </c>
      <c r="H448" s="5">
        <v>0</v>
      </c>
      <c r="I448" s="6" t="s">
        <v>13</v>
      </c>
      <c r="J448" s="4">
        <f>SUMPRODUCT(--((A448=$A$3:$A$2785)*$H$3:$H$2785&gt;H448))+1</f>
        <v>114</v>
      </c>
    </row>
    <row r="449" s="1" customFormat="true" customHeight="true" spans="1:10">
      <c r="A449" s="4" t="str">
        <f t="shared" si="59"/>
        <v>011</v>
      </c>
      <c r="B449" s="4" t="s">
        <v>22</v>
      </c>
      <c r="C449" s="4" t="str">
        <f>"舒双"</f>
        <v>舒双</v>
      </c>
      <c r="D449" s="4" t="str">
        <f>"2021013519"</f>
        <v>2021013519</v>
      </c>
      <c r="E449" s="4" t="str">
        <f t="shared" si="64"/>
        <v>35</v>
      </c>
      <c r="F449" s="4" t="str">
        <f>"19"</f>
        <v>19</v>
      </c>
      <c r="G449" s="4" t="s">
        <v>12</v>
      </c>
      <c r="H449" s="5">
        <v>0</v>
      </c>
      <c r="I449" s="6" t="s">
        <v>13</v>
      </c>
      <c r="J449" s="4">
        <f>SUMPRODUCT(--((A449=$A$3:$A$2785)*$H$3:$H$2785&gt;H449))+1</f>
        <v>114</v>
      </c>
    </row>
    <row r="450" s="1" customFormat="true" customHeight="true" spans="1:10">
      <c r="A450" s="4" t="str">
        <f t="shared" si="59"/>
        <v>011</v>
      </c>
      <c r="B450" s="4" t="s">
        <v>22</v>
      </c>
      <c r="C450" s="4" t="str">
        <f>"罗虹冰"</f>
        <v>罗虹冰</v>
      </c>
      <c r="D450" s="4" t="str">
        <f>"2021013520"</f>
        <v>2021013520</v>
      </c>
      <c r="E450" s="4" t="str">
        <f t="shared" si="64"/>
        <v>35</v>
      </c>
      <c r="F450" s="4" t="str">
        <f>"20"</f>
        <v>20</v>
      </c>
      <c r="G450" s="4" t="s">
        <v>12</v>
      </c>
      <c r="H450" s="5">
        <v>0</v>
      </c>
      <c r="I450" s="6" t="s">
        <v>13</v>
      </c>
      <c r="J450" s="4">
        <f>SUMPRODUCT(--((A450=$A$3:$A$2785)*$H$3:$H$2785&gt;H450))+1</f>
        <v>114</v>
      </c>
    </row>
    <row r="451" s="1" customFormat="true" customHeight="true" spans="1:10">
      <c r="A451" s="4" t="str">
        <f t="shared" si="59"/>
        <v>011</v>
      </c>
      <c r="B451" s="4" t="s">
        <v>22</v>
      </c>
      <c r="C451" s="4" t="str">
        <f>"谢丽婷"</f>
        <v>谢丽婷</v>
      </c>
      <c r="D451" s="4" t="str">
        <f>"2021013525"</f>
        <v>2021013525</v>
      </c>
      <c r="E451" s="4" t="str">
        <f t="shared" si="64"/>
        <v>35</v>
      </c>
      <c r="F451" s="4" t="str">
        <f>"25"</f>
        <v>25</v>
      </c>
      <c r="G451" s="4" t="s">
        <v>12</v>
      </c>
      <c r="H451" s="5">
        <v>0</v>
      </c>
      <c r="I451" s="6" t="s">
        <v>13</v>
      </c>
      <c r="J451" s="4">
        <f>SUMPRODUCT(--((A451=$A$3:$A$2785)*$H$3:$H$2785&gt;H451))+1</f>
        <v>114</v>
      </c>
    </row>
    <row r="452" s="1" customFormat="true" customHeight="true" spans="1:10">
      <c r="A452" s="4" t="str">
        <f t="shared" si="59"/>
        <v>011</v>
      </c>
      <c r="B452" s="4" t="s">
        <v>22</v>
      </c>
      <c r="C452" s="4" t="str">
        <f>"蒲翠娟"</f>
        <v>蒲翠娟</v>
      </c>
      <c r="D452" s="4" t="str">
        <f>"2021013526"</f>
        <v>2021013526</v>
      </c>
      <c r="E452" s="4" t="str">
        <f t="shared" si="64"/>
        <v>35</v>
      </c>
      <c r="F452" s="4" t="str">
        <f>"26"</f>
        <v>26</v>
      </c>
      <c r="G452" s="4" t="s">
        <v>12</v>
      </c>
      <c r="H452" s="5">
        <v>0</v>
      </c>
      <c r="I452" s="6" t="s">
        <v>13</v>
      </c>
      <c r="J452" s="4">
        <f>SUMPRODUCT(--((A452=$A$3:$A$2785)*$H$3:$H$2785&gt;H452))+1</f>
        <v>114</v>
      </c>
    </row>
    <row r="453" s="1" customFormat="true" customHeight="true" spans="1:10">
      <c r="A453" s="4" t="str">
        <f t="shared" si="59"/>
        <v>011</v>
      </c>
      <c r="B453" s="4" t="s">
        <v>22</v>
      </c>
      <c r="C453" s="4" t="str">
        <f>"肖婷"</f>
        <v>肖婷</v>
      </c>
      <c r="D453" s="4" t="str">
        <f>"2021013602"</f>
        <v>2021013602</v>
      </c>
      <c r="E453" s="4" t="str">
        <f t="shared" ref="E453:E460" si="65">"36"</f>
        <v>36</v>
      </c>
      <c r="F453" s="4" t="str">
        <f>"02"</f>
        <v>02</v>
      </c>
      <c r="G453" s="4" t="s">
        <v>12</v>
      </c>
      <c r="H453" s="5">
        <v>0</v>
      </c>
      <c r="I453" s="6" t="s">
        <v>13</v>
      </c>
      <c r="J453" s="4">
        <f>SUMPRODUCT(--((A453=$A$3:$A$2785)*$H$3:$H$2785&gt;H453))+1</f>
        <v>114</v>
      </c>
    </row>
    <row r="454" s="1" customFormat="true" customHeight="true" spans="1:10">
      <c r="A454" s="4" t="str">
        <f t="shared" si="59"/>
        <v>011</v>
      </c>
      <c r="B454" s="4" t="s">
        <v>22</v>
      </c>
      <c r="C454" s="4" t="str">
        <f>"隆潇娇"</f>
        <v>隆潇娇</v>
      </c>
      <c r="D454" s="4" t="str">
        <f>"2021013604"</f>
        <v>2021013604</v>
      </c>
      <c r="E454" s="4" t="str">
        <f t="shared" si="65"/>
        <v>36</v>
      </c>
      <c r="F454" s="4" t="str">
        <f>"04"</f>
        <v>04</v>
      </c>
      <c r="G454" s="4" t="s">
        <v>12</v>
      </c>
      <c r="H454" s="5">
        <v>0</v>
      </c>
      <c r="I454" s="6" t="s">
        <v>13</v>
      </c>
      <c r="J454" s="4">
        <f>SUMPRODUCT(--((A454=$A$3:$A$2785)*$H$3:$H$2785&gt;H454))+1</f>
        <v>114</v>
      </c>
    </row>
    <row r="455" s="1" customFormat="true" customHeight="true" spans="1:10">
      <c r="A455" s="4" t="str">
        <f t="shared" si="59"/>
        <v>011</v>
      </c>
      <c r="B455" s="4" t="s">
        <v>22</v>
      </c>
      <c r="C455" s="4" t="str">
        <f>"董相明"</f>
        <v>董相明</v>
      </c>
      <c r="D455" s="4" t="str">
        <f>"2021013608"</f>
        <v>2021013608</v>
      </c>
      <c r="E455" s="4" t="str">
        <f t="shared" si="65"/>
        <v>36</v>
      </c>
      <c r="F455" s="4" t="str">
        <f>"08"</f>
        <v>08</v>
      </c>
      <c r="G455" s="4" t="s">
        <v>12</v>
      </c>
      <c r="H455" s="5">
        <v>0</v>
      </c>
      <c r="I455" s="6" t="s">
        <v>13</v>
      </c>
      <c r="J455" s="4">
        <f>SUMPRODUCT(--((A455=$A$3:$A$2785)*$H$3:$H$2785&gt;H455))+1</f>
        <v>114</v>
      </c>
    </row>
    <row r="456" s="1" customFormat="true" customHeight="true" spans="1:10">
      <c r="A456" s="4" t="str">
        <f t="shared" si="59"/>
        <v>011</v>
      </c>
      <c r="B456" s="4" t="s">
        <v>22</v>
      </c>
      <c r="C456" s="4" t="str">
        <f>"汪智雯"</f>
        <v>汪智雯</v>
      </c>
      <c r="D456" s="4" t="str">
        <f>"2021013615"</f>
        <v>2021013615</v>
      </c>
      <c r="E456" s="4" t="str">
        <f t="shared" si="65"/>
        <v>36</v>
      </c>
      <c r="F456" s="4" t="str">
        <f>"15"</f>
        <v>15</v>
      </c>
      <c r="G456" s="4" t="s">
        <v>12</v>
      </c>
      <c r="H456" s="5">
        <v>0</v>
      </c>
      <c r="I456" s="6" t="s">
        <v>13</v>
      </c>
      <c r="J456" s="4">
        <f>SUMPRODUCT(--((A456=$A$3:$A$2785)*$H$3:$H$2785&gt;H456))+1</f>
        <v>114</v>
      </c>
    </row>
    <row r="457" s="1" customFormat="true" customHeight="true" spans="1:10">
      <c r="A457" s="4" t="str">
        <f t="shared" si="59"/>
        <v>011</v>
      </c>
      <c r="B457" s="4" t="s">
        <v>22</v>
      </c>
      <c r="C457" s="4" t="str">
        <f>"叶海婷"</f>
        <v>叶海婷</v>
      </c>
      <c r="D457" s="4" t="str">
        <f>"2021013616"</f>
        <v>2021013616</v>
      </c>
      <c r="E457" s="4" t="str">
        <f t="shared" si="65"/>
        <v>36</v>
      </c>
      <c r="F457" s="4" t="str">
        <f>"16"</f>
        <v>16</v>
      </c>
      <c r="G457" s="4" t="s">
        <v>12</v>
      </c>
      <c r="H457" s="5">
        <v>0</v>
      </c>
      <c r="I457" s="6" t="s">
        <v>13</v>
      </c>
      <c r="J457" s="4">
        <f>SUMPRODUCT(--((A457=$A$3:$A$2785)*$H$3:$H$2785&gt;H457))+1</f>
        <v>114</v>
      </c>
    </row>
    <row r="458" s="1" customFormat="true" customHeight="true" spans="1:10">
      <c r="A458" s="4" t="str">
        <f t="shared" si="59"/>
        <v>011</v>
      </c>
      <c r="B458" s="4" t="s">
        <v>22</v>
      </c>
      <c r="C458" s="4" t="str">
        <f>"赵彪"</f>
        <v>赵彪</v>
      </c>
      <c r="D458" s="4" t="str">
        <f>"2021013621"</f>
        <v>2021013621</v>
      </c>
      <c r="E458" s="4" t="str">
        <f t="shared" si="65"/>
        <v>36</v>
      </c>
      <c r="F458" s="4" t="str">
        <f>"21"</f>
        <v>21</v>
      </c>
      <c r="G458" s="4" t="s">
        <v>12</v>
      </c>
      <c r="H458" s="5">
        <v>0</v>
      </c>
      <c r="I458" s="6" t="s">
        <v>13</v>
      </c>
      <c r="J458" s="4">
        <f>SUMPRODUCT(--((A458=$A$3:$A$2785)*$H$3:$H$2785&gt;H458))+1</f>
        <v>114</v>
      </c>
    </row>
    <row r="459" s="1" customFormat="true" customHeight="true" spans="1:10">
      <c r="A459" s="4" t="str">
        <f t="shared" si="59"/>
        <v>011</v>
      </c>
      <c r="B459" s="4" t="s">
        <v>22</v>
      </c>
      <c r="C459" s="4" t="str">
        <f>"李玉亭"</f>
        <v>李玉亭</v>
      </c>
      <c r="D459" s="4" t="str">
        <f>"2021013622"</f>
        <v>2021013622</v>
      </c>
      <c r="E459" s="4" t="str">
        <f t="shared" si="65"/>
        <v>36</v>
      </c>
      <c r="F459" s="4" t="str">
        <f>"22"</f>
        <v>22</v>
      </c>
      <c r="G459" s="4" t="s">
        <v>12</v>
      </c>
      <c r="H459" s="5">
        <v>0</v>
      </c>
      <c r="I459" s="6" t="s">
        <v>13</v>
      </c>
      <c r="J459" s="4">
        <f>SUMPRODUCT(--((A459=$A$3:$A$2785)*$H$3:$H$2785&gt;H459))+1</f>
        <v>114</v>
      </c>
    </row>
    <row r="460" s="1" customFormat="true" customHeight="true" spans="1:10">
      <c r="A460" s="4" t="str">
        <f t="shared" si="59"/>
        <v>011</v>
      </c>
      <c r="B460" s="4" t="s">
        <v>22</v>
      </c>
      <c r="C460" s="4" t="str">
        <f>"曾欣"</f>
        <v>曾欣</v>
      </c>
      <c r="D460" s="4" t="str">
        <f>"2021013626"</f>
        <v>2021013626</v>
      </c>
      <c r="E460" s="4" t="str">
        <f t="shared" si="65"/>
        <v>36</v>
      </c>
      <c r="F460" s="4" t="str">
        <f>"26"</f>
        <v>26</v>
      </c>
      <c r="G460" s="4" t="s">
        <v>12</v>
      </c>
      <c r="H460" s="5">
        <v>0</v>
      </c>
      <c r="I460" s="6" t="s">
        <v>13</v>
      </c>
      <c r="J460" s="4">
        <f>SUMPRODUCT(--((A460=$A$3:$A$2785)*$H$3:$H$2785&gt;H460))+1</f>
        <v>114</v>
      </c>
    </row>
    <row r="461" s="1" customFormat="true" customHeight="true" spans="1:10">
      <c r="A461" s="4" t="str">
        <f t="shared" si="59"/>
        <v>011</v>
      </c>
      <c r="B461" s="4" t="s">
        <v>22</v>
      </c>
      <c r="C461" s="4" t="str">
        <f>"袁金霞"</f>
        <v>袁金霞</v>
      </c>
      <c r="D461" s="4" t="str">
        <f>"2021013705"</f>
        <v>2021013705</v>
      </c>
      <c r="E461" s="4" t="str">
        <f t="shared" ref="E461:E475" si="66">"37"</f>
        <v>37</v>
      </c>
      <c r="F461" s="4" t="str">
        <f>"05"</f>
        <v>05</v>
      </c>
      <c r="G461" s="4" t="s">
        <v>12</v>
      </c>
      <c r="H461" s="5">
        <v>0</v>
      </c>
      <c r="I461" s="6" t="s">
        <v>13</v>
      </c>
      <c r="J461" s="4">
        <f>SUMPRODUCT(--((A461=$A$3:$A$2785)*$H$3:$H$2785&gt;H461))+1</f>
        <v>114</v>
      </c>
    </row>
    <row r="462" s="1" customFormat="true" customHeight="true" spans="1:10">
      <c r="A462" s="4" t="str">
        <f t="shared" ref="A462:A525" si="67">"011"</f>
        <v>011</v>
      </c>
      <c r="B462" s="4" t="s">
        <v>22</v>
      </c>
      <c r="C462" s="4" t="str">
        <f>"彭婕"</f>
        <v>彭婕</v>
      </c>
      <c r="D462" s="4" t="str">
        <f>"2021013706"</f>
        <v>2021013706</v>
      </c>
      <c r="E462" s="4" t="str">
        <f t="shared" si="66"/>
        <v>37</v>
      </c>
      <c r="F462" s="4" t="str">
        <f>"06"</f>
        <v>06</v>
      </c>
      <c r="G462" s="4" t="s">
        <v>12</v>
      </c>
      <c r="H462" s="5">
        <v>0</v>
      </c>
      <c r="I462" s="6" t="s">
        <v>13</v>
      </c>
      <c r="J462" s="4">
        <f>SUMPRODUCT(--((A462=$A$3:$A$2785)*$H$3:$H$2785&gt;H462))+1</f>
        <v>114</v>
      </c>
    </row>
    <row r="463" s="1" customFormat="true" customHeight="true" spans="1:10">
      <c r="A463" s="4" t="str">
        <f t="shared" si="67"/>
        <v>011</v>
      </c>
      <c r="B463" s="4" t="s">
        <v>22</v>
      </c>
      <c r="C463" s="4" t="str">
        <f>"吴玲"</f>
        <v>吴玲</v>
      </c>
      <c r="D463" s="4" t="str">
        <f>"2021013707"</f>
        <v>2021013707</v>
      </c>
      <c r="E463" s="4" t="str">
        <f t="shared" si="66"/>
        <v>37</v>
      </c>
      <c r="F463" s="4" t="str">
        <f>"07"</f>
        <v>07</v>
      </c>
      <c r="G463" s="4" t="s">
        <v>12</v>
      </c>
      <c r="H463" s="5">
        <v>0</v>
      </c>
      <c r="I463" s="6" t="s">
        <v>13</v>
      </c>
      <c r="J463" s="4">
        <f>SUMPRODUCT(--((A463=$A$3:$A$2785)*$H$3:$H$2785&gt;H463))+1</f>
        <v>114</v>
      </c>
    </row>
    <row r="464" s="1" customFormat="true" customHeight="true" spans="1:10">
      <c r="A464" s="4" t="str">
        <f t="shared" si="67"/>
        <v>011</v>
      </c>
      <c r="B464" s="4" t="s">
        <v>22</v>
      </c>
      <c r="C464" s="4" t="str">
        <f>"宁婷婷"</f>
        <v>宁婷婷</v>
      </c>
      <c r="D464" s="4" t="str">
        <f>"2021013708"</f>
        <v>2021013708</v>
      </c>
      <c r="E464" s="4" t="str">
        <f t="shared" si="66"/>
        <v>37</v>
      </c>
      <c r="F464" s="4" t="str">
        <f>"08"</f>
        <v>08</v>
      </c>
      <c r="G464" s="4" t="s">
        <v>12</v>
      </c>
      <c r="H464" s="5">
        <v>0</v>
      </c>
      <c r="I464" s="6" t="s">
        <v>13</v>
      </c>
      <c r="J464" s="4">
        <f>SUMPRODUCT(--((A464=$A$3:$A$2785)*$H$3:$H$2785&gt;H464))+1</f>
        <v>114</v>
      </c>
    </row>
    <row r="465" s="1" customFormat="true" customHeight="true" spans="1:10">
      <c r="A465" s="4" t="str">
        <f t="shared" si="67"/>
        <v>011</v>
      </c>
      <c r="B465" s="4" t="s">
        <v>22</v>
      </c>
      <c r="C465" s="4" t="str">
        <f>"刘彦君"</f>
        <v>刘彦君</v>
      </c>
      <c r="D465" s="4" t="str">
        <f>"2021013710"</f>
        <v>2021013710</v>
      </c>
      <c r="E465" s="4" t="str">
        <f t="shared" si="66"/>
        <v>37</v>
      </c>
      <c r="F465" s="4" t="str">
        <f>"10"</f>
        <v>10</v>
      </c>
      <c r="G465" s="4" t="s">
        <v>12</v>
      </c>
      <c r="H465" s="5">
        <v>0</v>
      </c>
      <c r="I465" s="6" t="s">
        <v>13</v>
      </c>
      <c r="J465" s="4">
        <f>SUMPRODUCT(--((A465=$A$3:$A$2785)*$H$3:$H$2785&gt;H465))+1</f>
        <v>114</v>
      </c>
    </row>
    <row r="466" s="1" customFormat="true" customHeight="true" spans="1:10">
      <c r="A466" s="4" t="str">
        <f t="shared" si="67"/>
        <v>011</v>
      </c>
      <c r="B466" s="4" t="s">
        <v>22</v>
      </c>
      <c r="C466" s="4" t="str">
        <f>"舒茜"</f>
        <v>舒茜</v>
      </c>
      <c r="D466" s="4" t="str">
        <f>"2021013714"</f>
        <v>2021013714</v>
      </c>
      <c r="E466" s="4" t="str">
        <f t="shared" si="66"/>
        <v>37</v>
      </c>
      <c r="F466" s="4" t="str">
        <f>"14"</f>
        <v>14</v>
      </c>
      <c r="G466" s="4" t="s">
        <v>12</v>
      </c>
      <c r="H466" s="5">
        <v>0</v>
      </c>
      <c r="I466" s="6" t="s">
        <v>13</v>
      </c>
      <c r="J466" s="4">
        <f>SUMPRODUCT(--((A466=$A$3:$A$2785)*$H$3:$H$2785&gt;H466))+1</f>
        <v>114</v>
      </c>
    </row>
    <row r="467" s="1" customFormat="true" customHeight="true" spans="1:10">
      <c r="A467" s="4" t="str">
        <f t="shared" si="67"/>
        <v>011</v>
      </c>
      <c r="B467" s="4" t="s">
        <v>22</v>
      </c>
      <c r="C467" s="4" t="str">
        <f>"尹小丽"</f>
        <v>尹小丽</v>
      </c>
      <c r="D467" s="4" t="str">
        <f>"2021013716"</f>
        <v>2021013716</v>
      </c>
      <c r="E467" s="4" t="str">
        <f t="shared" si="66"/>
        <v>37</v>
      </c>
      <c r="F467" s="4" t="str">
        <f>"16"</f>
        <v>16</v>
      </c>
      <c r="G467" s="4" t="s">
        <v>12</v>
      </c>
      <c r="H467" s="5">
        <v>0</v>
      </c>
      <c r="I467" s="6" t="s">
        <v>13</v>
      </c>
      <c r="J467" s="4">
        <f>SUMPRODUCT(--((A467=$A$3:$A$2785)*$H$3:$H$2785&gt;H467))+1</f>
        <v>114</v>
      </c>
    </row>
    <row r="468" s="1" customFormat="true" customHeight="true" spans="1:10">
      <c r="A468" s="4" t="str">
        <f t="shared" si="67"/>
        <v>011</v>
      </c>
      <c r="B468" s="4" t="s">
        <v>22</v>
      </c>
      <c r="C468" s="4" t="str">
        <f>"马榕蔓"</f>
        <v>马榕蔓</v>
      </c>
      <c r="D468" s="4" t="str">
        <f>"2021013717"</f>
        <v>2021013717</v>
      </c>
      <c r="E468" s="4" t="str">
        <f t="shared" si="66"/>
        <v>37</v>
      </c>
      <c r="F468" s="4" t="str">
        <f>"17"</f>
        <v>17</v>
      </c>
      <c r="G468" s="4" t="s">
        <v>12</v>
      </c>
      <c r="H468" s="5">
        <v>0</v>
      </c>
      <c r="I468" s="6" t="s">
        <v>13</v>
      </c>
      <c r="J468" s="4">
        <f>SUMPRODUCT(--((A468=$A$3:$A$2785)*$H$3:$H$2785&gt;H468))+1</f>
        <v>114</v>
      </c>
    </row>
    <row r="469" s="1" customFormat="true" customHeight="true" spans="1:10">
      <c r="A469" s="4" t="str">
        <f t="shared" si="67"/>
        <v>011</v>
      </c>
      <c r="B469" s="4" t="s">
        <v>22</v>
      </c>
      <c r="C469" s="4" t="str">
        <f>"谢楚娴"</f>
        <v>谢楚娴</v>
      </c>
      <c r="D469" s="4" t="str">
        <f>"2021013718"</f>
        <v>2021013718</v>
      </c>
      <c r="E469" s="4" t="str">
        <f t="shared" si="66"/>
        <v>37</v>
      </c>
      <c r="F469" s="4" t="str">
        <f>"18"</f>
        <v>18</v>
      </c>
      <c r="G469" s="4" t="s">
        <v>12</v>
      </c>
      <c r="H469" s="5">
        <v>0</v>
      </c>
      <c r="I469" s="6" t="s">
        <v>13</v>
      </c>
      <c r="J469" s="4">
        <f>SUMPRODUCT(--((A469=$A$3:$A$2785)*$H$3:$H$2785&gt;H469))+1</f>
        <v>114</v>
      </c>
    </row>
    <row r="470" s="1" customFormat="true" customHeight="true" spans="1:10">
      <c r="A470" s="4" t="str">
        <f t="shared" si="67"/>
        <v>011</v>
      </c>
      <c r="B470" s="4" t="s">
        <v>22</v>
      </c>
      <c r="C470" s="4" t="str">
        <f>"罗湘君"</f>
        <v>罗湘君</v>
      </c>
      <c r="D470" s="4" t="str">
        <f>"2021013720"</f>
        <v>2021013720</v>
      </c>
      <c r="E470" s="4" t="str">
        <f t="shared" si="66"/>
        <v>37</v>
      </c>
      <c r="F470" s="4" t="str">
        <f>"20"</f>
        <v>20</v>
      </c>
      <c r="G470" s="4" t="s">
        <v>12</v>
      </c>
      <c r="H470" s="5">
        <v>0</v>
      </c>
      <c r="I470" s="6" t="s">
        <v>13</v>
      </c>
      <c r="J470" s="4">
        <f>SUMPRODUCT(--((A470=$A$3:$A$2785)*$H$3:$H$2785&gt;H470))+1</f>
        <v>114</v>
      </c>
    </row>
    <row r="471" s="1" customFormat="true" customHeight="true" spans="1:10">
      <c r="A471" s="4" t="str">
        <f t="shared" si="67"/>
        <v>011</v>
      </c>
      <c r="B471" s="4" t="s">
        <v>22</v>
      </c>
      <c r="C471" s="4" t="str">
        <f>"刘根"</f>
        <v>刘根</v>
      </c>
      <c r="D471" s="4" t="str">
        <f>"2021013724"</f>
        <v>2021013724</v>
      </c>
      <c r="E471" s="4" t="str">
        <f t="shared" si="66"/>
        <v>37</v>
      </c>
      <c r="F471" s="4" t="str">
        <f>"24"</f>
        <v>24</v>
      </c>
      <c r="G471" s="4" t="s">
        <v>12</v>
      </c>
      <c r="H471" s="5">
        <v>0</v>
      </c>
      <c r="I471" s="6" t="s">
        <v>13</v>
      </c>
      <c r="J471" s="4">
        <f>SUMPRODUCT(--((A471=$A$3:$A$2785)*$H$3:$H$2785&gt;H471))+1</f>
        <v>114</v>
      </c>
    </row>
    <row r="472" s="1" customFormat="true" customHeight="true" spans="1:10">
      <c r="A472" s="4" t="str">
        <f t="shared" si="67"/>
        <v>011</v>
      </c>
      <c r="B472" s="4" t="s">
        <v>22</v>
      </c>
      <c r="C472" s="4" t="str">
        <f>"张庆"</f>
        <v>张庆</v>
      </c>
      <c r="D472" s="4" t="str">
        <f>"2021013726"</f>
        <v>2021013726</v>
      </c>
      <c r="E472" s="4" t="str">
        <f t="shared" si="66"/>
        <v>37</v>
      </c>
      <c r="F472" s="4" t="str">
        <f>"26"</f>
        <v>26</v>
      </c>
      <c r="G472" s="4" t="s">
        <v>12</v>
      </c>
      <c r="H472" s="5">
        <v>0</v>
      </c>
      <c r="I472" s="6" t="s">
        <v>13</v>
      </c>
      <c r="J472" s="4">
        <f>SUMPRODUCT(--((A472=$A$3:$A$2785)*$H$3:$H$2785&gt;H472))+1</f>
        <v>114</v>
      </c>
    </row>
    <row r="473" s="1" customFormat="true" customHeight="true" spans="1:10">
      <c r="A473" s="4" t="str">
        <f t="shared" si="67"/>
        <v>011</v>
      </c>
      <c r="B473" s="4" t="s">
        <v>22</v>
      </c>
      <c r="C473" s="4" t="str">
        <f>"万海霞"</f>
        <v>万海霞</v>
      </c>
      <c r="D473" s="4" t="str">
        <f>"2021013727"</f>
        <v>2021013727</v>
      </c>
      <c r="E473" s="4" t="str">
        <f t="shared" si="66"/>
        <v>37</v>
      </c>
      <c r="F473" s="4" t="str">
        <f>"27"</f>
        <v>27</v>
      </c>
      <c r="G473" s="4" t="s">
        <v>12</v>
      </c>
      <c r="H473" s="5">
        <v>0</v>
      </c>
      <c r="I473" s="6" t="s">
        <v>13</v>
      </c>
      <c r="J473" s="4">
        <f>SUMPRODUCT(--((A473=$A$3:$A$2785)*$H$3:$H$2785&gt;H473))+1</f>
        <v>114</v>
      </c>
    </row>
    <row r="474" s="1" customFormat="true" customHeight="true" spans="1:10">
      <c r="A474" s="4" t="str">
        <f t="shared" si="67"/>
        <v>011</v>
      </c>
      <c r="B474" s="4" t="s">
        <v>22</v>
      </c>
      <c r="C474" s="4" t="str">
        <f>"向思思"</f>
        <v>向思思</v>
      </c>
      <c r="D474" s="4" t="str">
        <f>"2021013728"</f>
        <v>2021013728</v>
      </c>
      <c r="E474" s="4" t="str">
        <f t="shared" si="66"/>
        <v>37</v>
      </c>
      <c r="F474" s="4" t="str">
        <f>"28"</f>
        <v>28</v>
      </c>
      <c r="G474" s="4" t="s">
        <v>12</v>
      </c>
      <c r="H474" s="5">
        <v>0</v>
      </c>
      <c r="I474" s="6" t="s">
        <v>13</v>
      </c>
      <c r="J474" s="4">
        <f>SUMPRODUCT(--((A474=$A$3:$A$2785)*$H$3:$H$2785&gt;H474))+1</f>
        <v>114</v>
      </c>
    </row>
    <row r="475" s="1" customFormat="true" customHeight="true" spans="1:10">
      <c r="A475" s="4" t="str">
        <f t="shared" si="67"/>
        <v>011</v>
      </c>
      <c r="B475" s="4" t="s">
        <v>22</v>
      </c>
      <c r="C475" s="4" t="str">
        <f>"刘斌"</f>
        <v>刘斌</v>
      </c>
      <c r="D475" s="4" t="str">
        <f>"2021013730"</f>
        <v>2021013730</v>
      </c>
      <c r="E475" s="4" t="str">
        <f t="shared" si="66"/>
        <v>37</v>
      </c>
      <c r="F475" s="4" t="str">
        <f>"30"</f>
        <v>30</v>
      </c>
      <c r="G475" s="4" t="s">
        <v>12</v>
      </c>
      <c r="H475" s="5">
        <v>0</v>
      </c>
      <c r="I475" s="6" t="s">
        <v>13</v>
      </c>
      <c r="J475" s="4">
        <f>SUMPRODUCT(--((A475=$A$3:$A$2785)*$H$3:$H$2785&gt;H475))+1</f>
        <v>114</v>
      </c>
    </row>
    <row r="476" s="1" customFormat="true" customHeight="true" spans="1:10">
      <c r="A476" s="4" t="str">
        <f t="shared" si="67"/>
        <v>011</v>
      </c>
      <c r="B476" s="4" t="s">
        <v>22</v>
      </c>
      <c r="C476" s="4" t="str">
        <f>"向双林"</f>
        <v>向双林</v>
      </c>
      <c r="D476" s="4" t="str">
        <f>"2021013802"</f>
        <v>2021013802</v>
      </c>
      <c r="E476" s="4" t="str">
        <f t="shared" ref="E476:E487" si="68">"38"</f>
        <v>38</v>
      </c>
      <c r="F476" s="4" t="str">
        <f>"02"</f>
        <v>02</v>
      </c>
      <c r="G476" s="4" t="s">
        <v>12</v>
      </c>
      <c r="H476" s="5">
        <v>0</v>
      </c>
      <c r="I476" s="6" t="s">
        <v>13</v>
      </c>
      <c r="J476" s="4">
        <f>SUMPRODUCT(--((A476=$A$3:$A$2785)*$H$3:$H$2785&gt;H476))+1</f>
        <v>114</v>
      </c>
    </row>
    <row r="477" s="1" customFormat="true" customHeight="true" spans="1:10">
      <c r="A477" s="4" t="str">
        <f t="shared" si="67"/>
        <v>011</v>
      </c>
      <c r="B477" s="4" t="s">
        <v>22</v>
      </c>
      <c r="C477" s="4" t="str">
        <f>"唐莉"</f>
        <v>唐莉</v>
      </c>
      <c r="D477" s="4" t="str">
        <f>"2021013804"</f>
        <v>2021013804</v>
      </c>
      <c r="E477" s="4" t="str">
        <f t="shared" si="68"/>
        <v>38</v>
      </c>
      <c r="F477" s="4" t="str">
        <f>"04"</f>
        <v>04</v>
      </c>
      <c r="G477" s="4" t="s">
        <v>12</v>
      </c>
      <c r="H477" s="5">
        <v>0</v>
      </c>
      <c r="I477" s="6" t="s">
        <v>13</v>
      </c>
      <c r="J477" s="4">
        <f>SUMPRODUCT(--((A477=$A$3:$A$2785)*$H$3:$H$2785&gt;H477))+1</f>
        <v>114</v>
      </c>
    </row>
    <row r="478" s="1" customFormat="true" customHeight="true" spans="1:10">
      <c r="A478" s="4" t="str">
        <f t="shared" si="67"/>
        <v>011</v>
      </c>
      <c r="B478" s="4" t="s">
        <v>22</v>
      </c>
      <c r="C478" s="4" t="str">
        <f>"田群"</f>
        <v>田群</v>
      </c>
      <c r="D478" s="4" t="str">
        <f>"2021013806"</f>
        <v>2021013806</v>
      </c>
      <c r="E478" s="4" t="str">
        <f t="shared" si="68"/>
        <v>38</v>
      </c>
      <c r="F478" s="4" t="str">
        <f>"06"</f>
        <v>06</v>
      </c>
      <c r="G478" s="4" t="s">
        <v>12</v>
      </c>
      <c r="H478" s="5">
        <v>0</v>
      </c>
      <c r="I478" s="6" t="s">
        <v>13</v>
      </c>
      <c r="J478" s="4">
        <f>SUMPRODUCT(--((A478=$A$3:$A$2785)*$H$3:$H$2785&gt;H478))+1</f>
        <v>114</v>
      </c>
    </row>
    <row r="479" s="1" customFormat="true" customHeight="true" spans="1:10">
      <c r="A479" s="4" t="str">
        <f t="shared" si="67"/>
        <v>011</v>
      </c>
      <c r="B479" s="4" t="s">
        <v>22</v>
      </c>
      <c r="C479" s="4" t="str">
        <f>"李云"</f>
        <v>李云</v>
      </c>
      <c r="D479" s="4" t="str">
        <f>"2021013808"</f>
        <v>2021013808</v>
      </c>
      <c r="E479" s="4" t="str">
        <f t="shared" si="68"/>
        <v>38</v>
      </c>
      <c r="F479" s="4" t="str">
        <f>"08"</f>
        <v>08</v>
      </c>
      <c r="G479" s="4" t="s">
        <v>12</v>
      </c>
      <c r="H479" s="5">
        <v>0</v>
      </c>
      <c r="I479" s="6" t="s">
        <v>13</v>
      </c>
      <c r="J479" s="4">
        <f>SUMPRODUCT(--((A479=$A$3:$A$2785)*$H$3:$H$2785&gt;H479))+1</f>
        <v>114</v>
      </c>
    </row>
    <row r="480" s="1" customFormat="true" customHeight="true" spans="1:10">
      <c r="A480" s="4" t="str">
        <f t="shared" si="67"/>
        <v>011</v>
      </c>
      <c r="B480" s="4" t="s">
        <v>22</v>
      </c>
      <c r="C480" s="4" t="str">
        <f>"张璐"</f>
        <v>张璐</v>
      </c>
      <c r="D480" s="4" t="str">
        <f>"2021013810"</f>
        <v>2021013810</v>
      </c>
      <c r="E480" s="4" t="str">
        <f t="shared" si="68"/>
        <v>38</v>
      </c>
      <c r="F480" s="4" t="str">
        <f>"10"</f>
        <v>10</v>
      </c>
      <c r="G480" s="4" t="s">
        <v>12</v>
      </c>
      <c r="H480" s="5">
        <v>0</v>
      </c>
      <c r="I480" s="6" t="s">
        <v>13</v>
      </c>
      <c r="J480" s="4">
        <f>SUMPRODUCT(--((A480=$A$3:$A$2785)*$H$3:$H$2785&gt;H480))+1</f>
        <v>114</v>
      </c>
    </row>
    <row r="481" s="1" customFormat="true" customHeight="true" spans="1:10">
      <c r="A481" s="4" t="str">
        <f t="shared" si="67"/>
        <v>011</v>
      </c>
      <c r="B481" s="4" t="s">
        <v>22</v>
      </c>
      <c r="C481" s="4" t="str">
        <f>"魏淑彬"</f>
        <v>魏淑彬</v>
      </c>
      <c r="D481" s="4" t="str">
        <f>"2021013816"</f>
        <v>2021013816</v>
      </c>
      <c r="E481" s="4" t="str">
        <f t="shared" si="68"/>
        <v>38</v>
      </c>
      <c r="F481" s="4" t="str">
        <f>"16"</f>
        <v>16</v>
      </c>
      <c r="G481" s="4" t="s">
        <v>12</v>
      </c>
      <c r="H481" s="5">
        <v>0</v>
      </c>
      <c r="I481" s="6" t="s">
        <v>13</v>
      </c>
      <c r="J481" s="4">
        <f>SUMPRODUCT(--((A481=$A$3:$A$2785)*$H$3:$H$2785&gt;H481))+1</f>
        <v>114</v>
      </c>
    </row>
    <row r="482" s="1" customFormat="true" customHeight="true" spans="1:10">
      <c r="A482" s="4" t="str">
        <f t="shared" si="67"/>
        <v>011</v>
      </c>
      <c r="B482" s="4" t="s">
        <v>22</v>
      </c>
      <c r="C482" s="4" t="str">
        <f>"廖君桂"</f>
        <v>廖君桂</v>
      </c>
      <c r="D482" s="4" t="str">
        <f>"2021013818"</f>
        <v>2021013818</v>
      </c>
      <c r="E482" s="4" t="str">
        <f t="shared" si="68"/>
        <v>38</v>
      </c>
      <c r="F482" s="4" t="str">
        <f>"18"</f>
        <v>18</v>
      </c>
      <c r="G482" s="4" t="s">
        <v>12</v>
      </c>
      <c r="H482" s="5">
        <v>0</v>
      </c>
      <c r="I482" s="6" t="s">
        <v>13</v>
      </c>
      <c r="J482" s="4">
        <f>SUMPRODUCT(--((A482=$A$3:$A$2785)*$H$3:$H$2785&gt;H482))+1</f>
        <v>114</v>
      </c>
    </row>
    <row r="483" s="1" customFormat="true" customHeight="true" spans="1:10">
      <c r="A483" s="4" t="str">
        <f t="shared" si="67"/>
        <v>011</v>
      </c>
      <c r="B483" s="4" t="s">
        <v>22</v>
      </c>
      <c r="C483" s="4" t="str">
        <f>"邱晶晶"</f>
        <v>邱晶晶</v>
      </c>
      <c r="D483" s="4" t="str">
        <f>"2021013819"</f>
        <v>2021013819</v>
      </c>
      <c r="E483" s="4" t="str">
        <f t="shared" si="68"/>
        <v>38</v>
      </c>
      <c r="F483" s="4" t="str">
        <f>"19"</f>
        <v>19</v>
      </c>
      <c r="G483" s="4" t="s">
        <v>12</v>
      </c>
      <c r="H483" s="5">
        <v>0</v>
      </c>
      <c r="I483" s="6" t="s">
        <v>13</v>
      </c>
      <c r="J483" s="4">
        <f>SUMPRODUCT(--((A483=$A$3:$A$2785)*$H$3:$H$2785&gt;H483))+1</f>
        <v>114</v>
      </c>
    </row>
    <row r="484" s="1" customFormat="true" customHeight="true" spans="1:10">
      <c r="A484" s="4" t="str">
        <f t="shared" si="67"/>
        <v>011</v>
      </c>
      <c r="B484" s="4" t="s">
        <v>22</v>
      </c>
      <c r="C484" s="4" t="str">
        <f>"刘菁薇"</f>
        <v>刘菁薇</v>
      </c>
      <c r="D484" s="4" t="str">
        <f>"2021013822"</f>
        <v>2021013822</v>
      </c>
      <c r="E484" s="4" t="str">
        <f t="shared" si="68"/>
        <v>38</v>
      </c>
      <c r="F484" s="4" t="str">
        <f>"22"</f>
        <v>22</v>
      </c>
      <c r="G484" s="4" t="s">
        <v>12</v>
      </c>
      <c r="H484" s="5">
        <v>0</v>
      </c>
      <c r="I484" s="6" t="s">
        <v>13</v>
      </c>
      <c r="J484" s="4">
        <f>SUMPRODUCT(--((A484=$A$3:$A$2785)*$H$3:$H$2785&gt;H484))+1</f>
        <v>114</v>
      </c>
    </row>
    <row r="485" s="1" customFormat="true" customHeight="true" spans="1:10">
      <c r="A485" s="4" t="str">
        <f t="shared" si="67"/>
        <v>011</v>
      </c>
      <c r="B485" s="4" t="s">
        <v>22</v>
      </c>
      <c r="C485" s="4" t="str">
        <f>"姚祺潍"</f>
        <v>姚祺潍</v>
      </c>
      <c r="D485" s="4" t="str">
        <f>"2021013825"</f>
        <v>2021013825</v>
      </c>
      <c r="E485" s="4" t="str">
        <f t="shared" si="68"/>
        <v>38</v>
      </c>
      <c r="F485" s="4" t="str">
        <f>"25"</f>
        <v>25</v>
      </c>
      <c r="G485" s="4" t="s">
        <v>12</v>
      </c>
      <c r="H485" s="5">
        <v>0</v>
      </c>
      <c r="I485" s="6" t="s">
        <v>13</v>
      </c>
      <c r="J485" s="4">
        <f>SUMPRODUCT(--((A485=$A$3:$A$2785)*$H$3:$H$2785&gt;H485))+1</f>
        <v>114</v>
      </c>
    </row>
    <row r="486" s="1" customFormat="true" customHeight="true" spans="1:10">
      <c r="A486" s="4" t="str">
        <f t="shared" si="67"/>
        <v>011</v>
      </c>
      <c r="B486" s="4" t="s">
        <v>22</v>
      </c>
      <c r="C486" s="4" t="str">
        <f>"石纪珍"</f>
        <v>石纪珍</v>
      </c>
      <c r="D486" s="4" t="str">
        <f>"2021013827"</f>
        <v>2021013827</v>
      </c>
      <c r="E486" s="4" t="str">
        <f t="shared" si="68"/>
        <v>38</v>
      </c>
      <c r="F486" s="4" t="str">
        <f>"27"</f>
        <v>27</v>
      </c>
      <c r="G486" s="4" t="s">
        <v>12</v>
      </c>
      <c r="H486" s="5">
        <v>0</v>
      </c>
      <c r="I486" s="6" t="s">
        <v>13</v>
      </c>
      <c r="J486" s="4">
        <f>SUMPRODUCT(--((A486=$A$3:$A$2785)*$H$3:$H$2785&gt;H486))+1</f>
        <v>114</v>
      </c>
    </row>
    <row r="487" s="1" customFormat="true" customHeight="true" spans="1:10">
      <c r="A487" s="4" t="str">
        <f t="shared" si="67"/>
        <v>011</v>
      </c>
      <c r="B487" s="4" t="s">
        <v>22</v>
      </c>
      <c r="C487" s="4" t="str">
        <f>"邬贤莉"</f>
        <v>邬贤莉</v>
      </c>
      <c r="D487" s="4" t="str">
        <f>"2021013830"</f>
        <v>2021013830</v>
      </c>
      <c r="E487" s="4" t="str">
        <f t="shared" si="68"/>
        <v>38</v>
      </c>
      <c r="F487" s="4" t="str">
        <f>"30"</f>
        <v>30</v>
      </c>
      <c r="G487" s="4" t="s">
        <v>12</v>
      </c>
      <c r="H487" s="5">
        <v>0</v>
      </c>
      <c r="I487" s="6" t="s">
        <v>13</v>
      </c>
      <c r="J487" s="4">
        <f>SUMPRODUCT(--((A487=$A$3:$A$2785)*$H$3:$H$2785&gt;H487))+1</f>
        <v>114</v>
      </c>
    </row>
    <row r="488" s="1" customFormat="true" customHeight="true" spans="1:10">
      <c r="A488" s="4" t="str">
        <f t="shared" si="67"/>
        <v>011</v>
      </c>
      <c r="B488" s="4" t="s">
        <v>22</v>
      </c>
      <c r="C488" s="4" t="str">
        <f>"邓健林"</f>
        <v>邓健林</v>
      </c>
      <c r="D488" s="4" t="str">
        <f>"2021013902"</f>
        <v>2021013902</v>
      </c>
      <c r="E488" s="4" t="str">
        <f t="shared" ref="E488:E500" si="69">"39"</f>
        <v>39</v>
      </c>
      <c r="F488" s="4" t="str">
        <f>"02"</f>
        <v>02</v>
      </c>
      <c r="G488" s="4" t="s">
        <v>12</v>
      </c>
      <c r="H488" s="5">
        <v>0</v>
      </c>
      <c r="I488" s="6" t="s">
        <v>13</v>
      </c>
      <c r="J488" s="4">
        <f>SUMPRODUCT(--((A488=$A$3:$A$2785)*$H$3:$H$2785&gt;H488))+1</f>
        <v>114</v>
      </c>
    </row>
    <row r="489" s="1" customFormat="true" customHeight="true" spans="1:10">
      <c r="A489" s="4" t="str">
        <f t="shared" si="67"/>
        <v>011</v>
      </c>
      <c r="B489" s="4" t="s">
        <v>22</v>
      </c>
      <c r="C489" s="4" t="str">
        <f>"罗明明"</f>
        <v>罗明明</v>
      </c>
      <c r="D489" s="4" t="str">
        <f>"2021013903"</f>
        <v>2021013903</v>
      </c>
      <c r="E489" s="4" t="str">
        <f t="shared" si="69"/>
        <v>39</v>
      </c>
      <c r="F489" s="4" t="str">
        <f>"03"</f>
        <v>03</v>
      </c>
      <c r="G489" s="4" t="s">
        <v>12</v>
      </c>
      <c r="H489" s="5">
        <v>0</v>
      </c>
      <c r="I489" s="6" t="s">
        <v>13</v>
      </c>
      <c r="J489" s="4">
        <f>SUMPRODUCT(--((A489=$A$3:$A$2785)*$H$3:$H$2785&gt;H489))+1</f>
        <v>114</v>
      </c>
    </row>
    <row r="490" s="1" customFormat="true" customHeight="true" spans="1:10">
      <c r="A490" s="4" t="str">
        <f t="shared" si="67"/>
        <v>011</v>
      </c>
      <c r="B490" s="4" t="s">
        <v>22</v>
      </c>
      <c r="C490" s="4" t="str">
        <f>"邹静"</f>
        <v>邹静</v>
      </c>
      <c r="D490" s="4" t="str">
        <f>"2021013912"</f>
        <v>2021013912</v>
      </c>
      <c r="E490" s="4" t="str">
        <f t="shared" si="69"/>
        <v>39</v>
      </c>
      <c r="F490" s="4" t="str">
        <f>"12"</f>
        <v>12</v>
      </c>
      <c r="G490" s="4" t="s">
        <v>12</v>
      </c>
      <c r="H490" s="5">
        <v>0</v>
      </c>
      <c r="I490" s="6" t="s">
        <v>13</v>
      </c>
      <c r="J490" s="4">
        <f>SUMPRODUCT(--((A490=$A$3:$A$2785)*$H$3:$H$2785&gt;H490))+1</f>
        <v>114</v>
      </c>
    </row>
    <row r="491" s="1" customFormat="true" customHeight="true" spans="1:10">
      <c r="A491" s="4" t="str">
        <f t="shared" si="67"/>
        <v>011</v>
      </c>
      <c r="B491" s="4" t="s">
        <v>22</v>
      </c>
      <c r="C491" s="4" t="str">
        <f>"曾艺"</f>
        <v>曾艺</v>
      </c>
      <c r="D491" s="4" t="str">
        <f>"2021013913"</f>
        <v>2021013913</v>
      </c>
      <c r="E491" s="4" t="str">
        <f t="shared" si="69"/>
        <v>39</v>
      </c>
      <c r="F491" s="4" t="str">
        <f>"13"</f>
        <v>13</v>
      </c>
      <c r="G491" s="4" t="s">
        <v>12</v>
      </c>
      <c r="H491" s="5">
        <v>0</v>
      </c>
      <c r="I491" s="6" t="s">
        <v>13</v>
      </c>
      <c r="J491" s="4">
        <f>SUMPRODUCT(--((A491=$A$3:$A$2785)*$H$3:$H$2785&gt;H491))+1</f>
        <v>114</v>
      </c>
    </row>
    <row r="492" s="1" customFormat="true" customHeight="true" spans="1:10">
      <c r="A492" s="4" t="str">
        <f t="shared" si="67"/>
        <v>011</v>
      </c>
      <c r="B492" s="4" t="s">
        <v>22</v>
      </c>
      <c r="C492" s="4" t="str">
        <f>"张又文"</f>
        <v>张又文</v>
      </c>
      <c r="D492" s="4" t="str">
        <f>"2021013915"</f>
        <v>2021013915</v>
      </c>
      <c r="E492" s="4" t="str">
        <f t="shared" si="69"/>
        <v>39</v>
      </c>
      <c r="F492" s="4" t="str">
        <f>"15"</f>
        <v>15</v>
      </c>
      <c r="G492" s="4" t="s">
        <v>12</v>
      </c>
      <c r="H492" s="5">
        <v>0</v>
      </c>
      <c r="I492" s="6" t="s">
        <v>13</v>
      </c>
      <c r="J492" s="4">
        <f>SUMPRODUCT(--((A492=$A$3:$A$2785)*$H$3:$H$2785&gt;H492))+1</f>
        <v>114</v>
      </c>
    </row>
    <row r="493" s="1" customFormat="true" customHeight="true" spans="1:10">
      <c r="A493" s="4" t="str">
        <f t="shared" si="67"/>
        <v>011</v>
      </c>
      <c r="B493" s="4" t="s">
        <v>22</v>
      </c>
      <c r="C493" s="4" t="str">
        <f>"樊露"</f>
        <v>樊露</v>
      </c>
      <c r="D493" s="4" t="str">
        <f>"2021013916"</f>
        <v>2021013916</v>
      </c>
      <c r="E493" s="4" t="str">
        <f t="shared" si="69"/>
        <v>39</v>
      </c>
      <c r="F493" s="4" t="str">
        <f>"16"</f>
        <v>16</v>
      </c>
      <c r="G493" s="4" t="s">
        <v>12</v>
      </c>
      <c r="H493" s="5">
        <v>0</v>
      </c>
      <c r="I493" s="6" t="s">
        <v>13</v>
      </c>
      <c r="J493" s="4">
        <f>SUMPRODUCT(--((A493=$A$3:$A$2785)*$H$3:$H$2785&gt;H493))+1</f>
        <v>114</v>
      </c>
    </row>
    <row r="494" s="1" customFormat="true" customHeight="true" spans="1:10">
      <c r="A494" s="4" t="str">
        <f t="shared" si="67"/>
        <v>011</v>
      </c>
      <c r="B494" s="4" t="s">
        <v>22</v>
      </c>
      <c r="C494" s="4" t="str">
        <f>"瞿秀琳"</f>
        <v>瞿秀琳</v>
      </c>
      <c r="D494" s="4" t="str">
        <f>"2021013919"</f>
        <v>2021013919</v>
      </c>
      <c r="E494" s="4" t="str">
        <f t="shared" si="69"/>
        <v>39</v>
      </c>
      <c r="F494" s="4" t="str">
        <f>"19"</f>
        <v>19</v>
      </c>
      <c r="G494" s="4" t="s">
        <v>12</v>
      </c>
      <c r="H494" s="5">
        <v>0</v>
      </c>
      <c r="I494" s="6" t="s">
        <v>13</v>
      </c>
      <c r="J494" s="4">
        <f>SUMPRODUCT(--((A494=$A$3:$A$2785)*$H$3:$H$2785&gt;H494))+1</f>
        <v>114</v>
      </c>
    </row>
    <row r="495" s="1" customFormat="true" customHeight="true" spans="1:10">
      <c r="A495" s="4" t="str">
        <f t="shared" si="67"/>
        <v>011</v>
      </c>
      <c r="B495" s="4" t="s">
        <v>22</v>
      </c>
      <c r="C495" s="4" t="str">
        <f>"刘茂菊"</f>
        <v>刘茂菊</v>
      </c>
      <c r="D495" s="4" t="str">
        <f>"2021013920"</f>
        <v>2021013920</v>
      </c>
      <c r="E495" s="4" t="str">
        <f t="shared" si="69"/>
        <v>39</v>
      </c>
      <c r="F495" s="4" t="str">
        <f>"20"</f>
        <v>20</v>
      </c>
      <c r="G495" s="4" t="s">
        <v>12</v>
      </c>
      <c r="H495" s="5">
        <v>0</v>
      </c>
      <c r="I495" s="6" t="s">
        <v>13</v>
      </c>
      <c r="J495" s="4">
        <f>SUMPRODUCT(--((A495=$A$3:$A$2785)*$H$3:$H$2785&gt;H495))+1</f>
        <v>114</v>
      </c>
    </row>
    <row r="496" s="1" customFormat="true" customHeight="true" spans="1:10">
      <c r="A496" s="4" t="str">
        <f t="shared" si="67"/>
        <v>011</v>
      </c>
      <c r="B496" s="4" t="s">
        <v>22</v>
      </c>
      <c r="C496" s="4" t="str">
        <f>"唐清霖"</f>
        <v>唐清霖</v>
      </c>
      <c r="D496" s="4" t="str">
        <f>"2021013921"</f>
        <v>2021013921</v>
      </c>
      <c r="E496" s="4" t="str">
        <f t="shared" si="69"/>
        <v>39</v>
      </c>
      <c r="F496" s="4" t="str">
        <f>"21"</f>
        <v>21</v>
      </c>
      <c r="G496" s="4" t="s">
        <v>12</v>
      </c>
      <c r="H496" s="5">
        <v>0</v>
      </c>
      <c r="I496" s="6" t="s">
        <v>13</v>
      </c>
      <c r="J496" s="4">
        <f>SUMPRODUCT(--((A496=$A$3:$A$2785)*$H$3:$H$2785&gt;H496))+1</f>
        <v>114</v>
      </c>
    </row>
    <row r="497" s="1" customFormat="true" customHeight="true" spans="1:10">
      <c r="A497" s="4" t="str">
        <f t="shared" si="67"/>
        <v>011</v>
      </c>
      <c r="B497" s="4" t="s">
        <v>22</v>
      </c>
      <c r="C497" s="4" t="str">
        <f>"王海燕"</f>
        <v>王海燕</v>
      </c>
      <c r="D497" s="4" t="str">
        <f>"2021013922"</f>
        <v>2021013922</v>
      </c>
      <c r="E497" s="4" t="str">
        <f t="shared" si="69"/>
        <v>39</v>
      </c>
      <c r="F497" s="4" t="str">
        <f>"22"</f>
        <v>22</v>
      </c>
      <c r="G497" s="4" t="s">
        <v>12</v>
      </c>
      <c r="H497" s="5">
        <v>0</v>
      </c>
      <c r="I497" s="6" t="s">
        <v>13</v>
      </c>
      <c r="J497" s="4">
        <f>SUMPRODUCT(--((A497=$A$3:$A$2785)*$H$3:$H$2785&gt;H497))+1</f>
        <v>114</v>
      </c>
    </row>
    <row r="498" s="1" customFormat="true" customHeight="true" spans="1:10">
      <c r="A498" s="4" t="str">
        <f t="shared" si="67"/>
        <v>011</v>
      </c>
      <c r="B498" s="4" t="s">
        <v>22</v>
      </c>
      <c r="C498" s="4" t="str">
        <f>"张洛宁"</f>
        <v>张洛宁</v>
      </c>
      <c r="D498" s="4" t="str">
        <f>"2021013924"</f>
        <v>2021013924</v>
      </c>
      <c r="E498" s="4" t="str">
        <f t="shared" si="69"/>
        <v>39</v>
      </c>
      <c r="F498" s="4" t="str">
        <f>"24"</f>
        <v>24</v>
      </c>
      <c r="G498" s="4" t="s">
        <v>12</v>
      </c>
      <c r="H498" s="5">
        <v>0</v>
      </c>
      <c r="I498" s="6" t="s">
        <v>13</v>
      </c>
      <c r="J498" s="4">
        <f>SUMPRODUCT(--((A498=$A$3:$A$2785)*$H$3:$H$2785&gt;H498))+1</f>
        <v>114</v>
      </c>
    </row>
    <row r="499" s="1" customFormat="true" customHeight="true" spans="1:10">
      <c r="A499" s="4" t="str">
        <f t="shared" si="67"/>
        <v>011</v>
      </c>
      <c r="B499" s="4" t="s">
        <v>22</v>
      </c>
      <c r="C499" s="4" t="str">
        <f>"蔡航"</f>
        <v>蔡航</v>
      </c>
      <c r="D499" s="4" t="str">
        <f>"2021013925"</f>
        <v>2021013925</v>
      </c>
      <c r="E499" s="4" t="str">
        <f t="shared" si="69"/>
        <v>39</v>
      </c>
      <c r="F499" s="4" t="str">
        <f>"25"</f>
        <v>25</v>
      </c>
      <c r="G499" s="4" t="s">
        <v>12</v>
      </c>
      <c r="H499" s="5">
        <v>0</v>
      </c>
      <c r="I499" s="6" t="s">
        <v>13</v>
      </c>
      <c r="J499" s="4">
        <f>SUMPRODUCT(--((A499=$A$3:$A$2785)*$H$3:$H$2785&gt;H499))+1</f>
        <v>114</v>
      </c>
    </row>
    <row r="500" s="1" customFormat="true" customHeight="true" spans="1:10">
      <c r="A500" s="4" t="str">
        <f t="shared" si="67"/>
        <v>011</v>
      </c>
      <c r="B500" s="4" t="s">
        <v>22</v>
      </c>
      <c r="C500" s="4" t="str">
        <f>"张玲"</f>
        <v>张玲</v>
      </c>
      <c r="D500" s="4" t="str">
        <f>"2021013926"</f>
        <v>2021013926</v>
      </c>
      <c r="E500" s="4" t="str">
        <f t="shared" si="69"/>
        <v>39</v>
      </c>
      <c r="F500" s="4" t="str">
        <f>"26"</f>
        <v>26</v>
      </c>
      <c r="G500" s="4" t="s">
        <v>12</v>
      </c>
      <c r="H500" s="5">
        <v>0</v>
      </c>
      <c r="I500" s="6" t="s">
        <v>13</v>
      </c>
      <c r="J500" s="4">
        <f>SUMPRODUCT(--((A500=$A$3:$A$2785)*$H$3:$H$2785&gt;H500))+1</f>
        <v>114</v>
      </c>
    </row>
    <row r="501" s="1" customFormat="true" customHeight="true" spans="1:10">
      <c r="A501" s="4" t="str">
        <f t="shared" si="67"/>
        <v>011</v>
      </c>
      <c r="B501" s="4" t="s">
        <v>22</v>
      </c>
      <c r="C501" s="4" t="str">
        <f>"马湘媛"</f>
        <v>马湘媛</v>
      </c>
      <c r="D501" s="4" t="str">
        <f>"2021014001"</f>
        <v>2021014001</v>
      </c>
      <c r="E501" s="4" t="str">
        <f t="shared" ref="E501:E513" si="70">"40"</f>
        <v>40</v>
      </c>
      <c r="F501" s="4" t="str">
        <f>"01"</f>
        <v>01</v>
      </c>
      <c r="G501" s="4" t="s">
        <v>12</v>
      </c>
      <c r="H501" s="5">
        <v>0</v>
      </c>
      <c r="I501" s="6" t="s">
        <v>13</v>
      </c>
      <c r="J501" s="4">
        <f>SUMPRODUCT(--((A501=$A$3:$A$2785)*$H$3:$H$2785&gt;H501))+1</f>
        <v>114</v>
      </c>
    </row>
    <row r="502" s="1" customFormat="true" customHeight="true" spans="1:10">
      <c r="A502" s="4" t="str">
        <f t="shared" si="67"/>
        <v>011</v>
      </c>
      <c r="B502" s="4" t="s">
        <v>22</v>
      </c>
      <c r="C502" s="4" t="str">
        <f>"阙晨蕊"</f>
        <v>阙晨蕊</v>
      </c>
      <c r="D502" s="4" t="str">
        <f>"2021014006"</f>
        <v>2021014006</v>
      </c>
      <c r="E502" s="4" t="str">
        <f t="shared" si="70"/>
        <v>40</v>
      </c>
      <c r="F502" s="4" t="str">
        <f>"06"</f>
        <v>06</v>
      </c>
      <c r="G502" s="4" t="s">
        <v>12</v>
      </c>
      <c r="H502" s="5">
        <v>0</v>
      </c>
      <c r="I502" s="6" t="s">
        <v>13</v>
      </c>
      <c r="J502" s="4">
        <f>SUMPRODUCT(--((A502=$A$3:$A$2785)*$H$3:$H$2785&gt;H502))+1</f>
        <v>114</v>
      </c>
    </row>
    <row r="503" s="1" customFormat="true" customHeight="true" spans="1:10">
      <c r="A503" s="4" t="str">
        <f t="shared" si="67"/>
        <v>011</v>
      </c>
      <c r="B503" s="4" t="s">
        <v>22</v>
      </c>
      <c r="C503" s="4" t="str">
        <f>"甘娟"</f>
        <v>甘娟</v>
      </c>
      <c r="D503" s="4" t="str">
        <f>"2021014007"</f>
        <v>2021014007</v>
      </c>
      <c r="E503" s="4" t="str">
        <f t="shared" si="70"/>
        <v>40</v>
      </c>
      <c r="F503" s="4" t="str">
        <f>"07"</f>
        <v>07</v>
      </c>
      <c r="G503" s="4" t="s">
        <v>12</v>
      </c>
      <c r="H503" s="5">
        <v>0</v>
      </c>
      <c r="I503" s="6" t="s">
        <v>13</v>
      </c>
      <c r="J503" s="4">
        <f>SUMPRODUCT(--((A503=$A$3:$A$2785)*$H$3:$H$2785&gt;H503))+1</f>
        <v>114</v>
      </c>
    </row>
    <row r="504" s="1" customFormat="true" customHeight="true" spans="1:10">
      <c r="A504" s="4" t="str">
        <f t="shared" si="67"/>
        <v>011</v>
      </c>
      <c r="B504" s="4" t="s">
        <v>22</v>
      </c>
      <c r="C504" s="4" t="str">
        <f>"胡四英"</f>
        <v>胡四英</v>
      </c>
      <c r="D504" s="4" t="str">
        <f>"2021014008"</f>
        <v>2021014008</v>
      </c>
      <c r="E504" s="4" t="str">
        <f t="shared" si="70"/>
        <v>40</v>
      </c>
      <c r="F504" s="4" t="str">
        <f>"08"</f>
        <v>08</v>
      </c>
      <c r="G504" s="4" t="s">
        <v>12</v>
      </c>
      <c r="H504" s="5">
        <v>0</v>
      </c>
      <c r="I504" s="6" t="s">
        <v>13</v>
      </c>
      <c r="J504" s="4">
        <f>SUMPRODUCT(--((A504=$A$3:$A$2785)*$H$3:$H$2785&gt;H504))+1</f>
        <v>114</v>
      </c>
    </row>
    <row r="505" s="1" customFormat="true" customHeight="true" spans="1:10">
      <c r="A505" s="4" t="str">
        <f t="shared" si="67"/>
        <v>011</v>
      </c>
      <c r="B505" s="4" t="s">
        <v>22</v>
      </c>
      <c r="C505" s="4" t="str">
        <f>"罗玉霜"</f>
        <v>罗玉霜</v>
      </c>
      <c r="D505" s="4" t="str">
        <f>"2021014009"</f>
        <v>2021014009</v>
      </c>
      <c r="E505" s="4" t="str">
        <f t="shared" si="70"/>
        <v>40</v>
      </c>
      <c r="F505" s="4" t="str">
        <f>"09"</f>
        <v>09</v>
      </c>
      <c r="G505" s="4" t="s">
        <v>12</v>
      </c>
      <c r="H505" s="5">
        <v>0</v>
      </c>
      <c r="I505" s="6" t="s">
        <v>13</v>
      </c>
      <c r="J505" s="4">
        <f>SUMPRODUCT(--((A505=$A$3:$A$2785)*$H$3:$H$2785&gt;H505))+1</f>
        <v>114</v>
      </c>
    </row>
    <row r="506" s="1" customFormat="true" customHeight="true" spans="1:10">
      <c r="A506" s="4" t="str">
        <f t="shared" si="67"/>
        <v>011</v>
      </c>
      <c r="B506" s="4" t="s">
        <v>22</v>
      </c>
      <c r="C506" s="4" t="str">
        <f>"刘佳"</f>
        <v>刘佳</v>
      </c>
      <c r="D506" s="4" t="str">
        <f>"2021014012"</f>
        <v>2021014012</v>
      </c>
      <c r="E506" s="4" t="str">
        <f t="shared" si="70"/>
        <v>40</v>
      </c>
      <c r="F506" s="4" t="str">
        <f>"12"</f>
        <v>12</v>
      </c>
      <c r="G506" s="4" t="s">
        <v>12</v>
      </c>
      <c r="H506" s="5">
        <v>0</v>
      </c>
      <c r="I506" s="6" t="s">
        <v>13</v>
      </c>
      <c r="J506" s="4">
        <f>SUMPRODUCT(--((A506=$A$3:$A$2785)*$H$3:$H$2785&gt;H506))+1</f>
        <v>114</v>
      </c>
    </row>
    <row r="507" s="1" customFormat="true" customHeight="true" spans="1:10">
      <c r="A507" s="4" t="str">
        <f t="shared" si="67"/>
        <v>011</v>
      </c>
      <c r="B507" s="4" t="s">
        <v>22</v>
      </c>
      <c r="C507" s="4" t="str">
        <f>"杨子萱"</f>
        <v>杨子萱</v>
      </c>
      <c r="D507" s="4" t="str">
        <f>"2021014013"</f>
        <v>2021014013</v>
      </c>
      <c r="E507" s="4" t="str">
        <f t="shared" si="70"/>
        <v>40</v>
      </c>
      <c r="F507" s="4" t="str">
        <f>"13"</f>
        <v>13</v>
      </c>
      <c r="G507" s="4" t="s">
        <v>12</v>
      </c>
      <c r="H507" s="5">
        <v>0</v>
      </c>
      <c r="I507" s="6" t="s">
        <v>13</v>
      </c>
      <c r="J507" s="4">
        <f>SUMPRODUCT(--((A507=$A$3:$A$2785)*$H$3:$H$2785&gt;H507))+1</f>
        <v>114</v>
      </c>
    </row>
    <row r="508" s="1" customFormat="true" customHeight="true" spans="1:10">
      <c r="A508" s="4" t="str">
        <f t="shared" si="67"/>
        <v>011</v>
      </c>
      <c r="B508" s="4" t="s">
        <v>22</v>
      </c>
      <c r="C508" s="4" t="str">
        <f>"赵敏"</f>
        <v>赵敏</v>
      </c>
      <c r="D508" s="4" t="str">
        <f>"2021014014"</f>
        <v>2021014014</v>
      </c>
      <c r="E508" s="4" t="str">
        <f t="shared" si="70"/>
        <v>40</v>
      </c>
      <c r="F508" s="4" t="str">
        <f>"14"</f>
        <v>14</v>
      </c>
      <c r="G508" s="4" t="s">
        <v>12</v>
      </c>
      <c r="H508" s="5">
        <v>0</v>
      </c>
      <c r="I508" s="6" t="s">
        <v>13</v>
      </c>
      <c r="J508" s="4">
        <f>SUMPRODUCT(--((A508=$A$3:$A$2785)*$H$3:$H$2785&gt;H508))+1</f>
        <v>114</v>
      </c>
    </row>
    <row r="509" s="1" customFormat="true" customHeight="true" spans="1:10">
      <c r="A509" s="4" t="str">
        <f t="shared" si="67"/>
        <v>011</v>
      </c>
      <c r="B509" s="4" t="s">
        <v>22</v>
      </c>
      <c r="C509" s="4" t="str">
        <f>"龙文莲"</f>
        <v>龙文莲</v>
      </c>
      <c r="D509" s="4" t="str">
        <f>"2021014017"</f>
        <v>2021014017</v>
      </c>
      <c r="E509" s="4" t="str">
        <f t="shared" si="70"/>
        <v>40</v>
      </c>
      <c r="F509" s="4" t="str">
        <f>"17"</f>
        <v>17</v>
      </c>
      <c r="G509" s="4" t="s">
        <v>12</v>
      </c>
      <c r="H509" s="5">
        <v>0</v>
      </c>
      <c r="I509" s="6" t="s">
        <v>13</v>
      </c>
      <c r="J509" s="4">
        <f>SUMPRODUCT(--((A509=$A$3:$A$2785)*$H$3:$H$2785&gt;H509))+1</f>
        <v>114</v>
      </c>
    </row>
    <row r="510" s="1" customFormat="true" customHeight="true" spans="1:10">
      <c r="A510" s="4" t="str">
        <f t="shared" si="67"/>
        <v>011</v>
      </c>
      <c r="B510" s="4" t="s">
        <v>22</v>
      </c>
      <c r="C510" s="4" t="str">
        <f>"周颖"</f>
        <v>周颖</v>
      </c>
      <c r="D510" s="4" t="str">
        <f>"2021014023"</f>
        <v>2021014023</v>
      </c>
      <c r="E510" s="4" t="str">
        <f t="shared" si="70"/>
        <v>40</v>
      </c>
      <c r="F510" s="4" t="str">
        <f>"23"</f>
        <v>23</v>
      </c>
      <c r="G510" s="4" t="s">
        <v>12</v>
      </c>
      <c r="H510" s="5">
        <v>0</v>
      </c>
      <c r="I510" s="6" t="s">
        <v>13</v>
      </c>
      <c r="J510" s="4">
        <f>SUMPRODUCT(--((A510=$A$3:$A$2785)*$H$3:$H$2785&gt;H510))+1</f>
        <v>114</v>
      </c>
    </row>
    <row r="511" s="1" customFormat="true" customHeight="true" spans="1:10">
      <c r="A511" s="4" t="str">
        <f t="shared" si="67"/>
        <v>011</v>
      </c>
      <c r="B511" s="4" t="s">
        <v>22</v>
      </c>
      <c r="C511" s="4" t="str">
        <f>"陈凯利"</f>
        <v>陈凯利</v>
      </c>
      <c r="D511" s="4" t="str">
        <f>"2021014024"</f>
        <v>2021014024</v>
      </c>
      <c r="E511" s="4" t="str">
        <f t="shared" si="70"/>
        <v>40</v>
      </c>
      <c r="F511" s="4" t="str">
        <f>"24"</f>
        <v>24</v>
      </c>
      <c r="G511" s="4" t="s">
        <v>12</v>
      </c>
      <c r="H511" s="5">
        <v>0</v>
      </c>
      <c r="I511" s="6" t="s">
        <v>13</v>
      </c>
      <c r="J511" s="4">
        <f>SUMPRODUCT(--((A511=$A$3:$A$2785)*$H$3:$H$2785&gt;H511))+1</f>
        <v>114</v>
      </c>
    </row>
    <row r="512" s="1" customFormat="true" customHeight="true" spans="1:10">
      <c r="A512" s="4" t="str">
        <f t="shared" si="67"/>
        <v>011</v>
      </c>
      <c r="B512" s="4" t="s">
        <v>22</v>
      </c>
      <c r="C512" s="4" t="str">
        <f>"杨婷"</f>
        <v>杨婷</v>
      </c>
      <c r="D512" s="4" t="str">
        <f>"2021014028"</f>
        <v>2021014028</v>
      </c>
      <c r="E512" s="4" t="str">
        <f t="shared" si="70"/>
        <v>40</v>
      </c>
      <c r="F512" s="4" t="str">
        <f>"28"</f>
        <v>28</v>
      </c>
      <c r="G512" s="4" t="s">
        <v>12</v>
      </c>
      <c r="H512" s="5">
        <v>0</v>
      </c>
      <c r="I512" s="6" t="s">
        <v>13</v>
      </c>
      <c r="J512" s="4">
        <f>SUMPRODUCT(--((A512=$A$3:$A$2785)*$H$3:$H$2785&gt;H512))+1</f>
        <v>114</v>
      </c>
    </row>
    <row r="513" s="1" customFormat="true" customHeight="true" spans="1:10">
      <c r="A513" s="4" t="str">
        <f t="shared" si="67"/>
        <v>011</v>
      </c>
      <c r="B513" s="4" t="s">
        <v>22</v>
      </c>
      <c r="C513" s="4" t="str">
        <f>"王雅静"</f>
        <v>王雅静</v>
      </c>
      <c r="D513" s="4" t="str">
        <f>"2021014030"</f>
        <v>2021014030</v>
      </c>
      <c r="E513" s="4" t="str">
        <f t="shared" si="70"/>
        <v>40</v>
      </c>
      <c r="F513" s="4" t="str">
        <f>"30"</f>
        <v>30</v>
      </c>
      <c r="G513" s="4" t="s">
        <v>12</v>
      </c>
      <c r="H513" s="5">
        <v>0</v>
      </c>
      <c r="I513" s="6" t="s">
        <v>13</v>
      </c>
      <c r="J513" s="4">
        <f>SUMPRODUCT(--((A513=$A$3:$A$2785)*$H$3:$H$2785&gt;H513))+1</f>
        <v>114</v>
      </c>
    </row>
    <row r="514" s="1" customFormat="true" customHeight="true" spans="1:10">
      <c r="A514" s="4" t="str">
        <f t="shared" si="67"/>
        <v>011</v>
      </c>
      <c r="B514" s="4" t="s">
        <v>22</v>
      </c>
      <c r="C514" s="4" t="str">
        <f>"胡佳忆"</f>
        <v>胡佳忆</v>
      </c>
      <c r="D514" s="4" t="str">
        <f>"2021014101"</f>
        <v>2021014101</v>
      </c>
      <c r="E514" s="4" t="str">
        <f t="shared" ref="E514:E528" si="71">"41"</f>
        <v>41</v>
      </c>
      <c r="F514" s="4" t="str">
        <f>"01"</f>
        <v>01</v>
      </c>
      <c r="G514" s="4" t="s">
        <v>12</v>
      </c>
      <c r="H514" s="5">
        <v>0</v>
      </c>
      <c r="I514" s="6" t="s">
        <v>13</v>
      </c>
      <c r="J514" s="4">
        <f>SUMPRODUCT(--((A514=$A$3:$A$2785)*$H$3:$H$2785&gt;H514))+1</f>
        <v>114</v>
      </c>
    </row>
    <row r="515" s="1" customFormat="true" customHeight="true" spans="1:10">
      <c r="A515" s="4" t="str">
        <f t="shared" si="67"/>
        <v>011</v>
      </c>
      <c r="B515" s="4" t="s">
        <v>22</v>
      </c>
      <c r="C515" s="4" t="str">
        <f>"周小丁"</f>
        <v>周小丁</v>
      </c>
      <c r="D515" s="4" t="str">
        <f>"2021014102"</f>
        <v>2021014102</v>
      </c>
      <c r="E515" s="4" t="str">
        <f t="shared" si="71"/>
        <v>41</v>
      </c>
      <c r="F515" s="4" t="str">
        <f>"02"</f>
        <v>02</v>
      </c>
      <c r="G515" s="4" t="s">
        <v>12</v>
      </c>
      <c r="H515" s="5">
        <v>0</v>
      </c>
      <c r="I515" s="6" t="s">
        <v>13</v>
      </c>
      <c r="J515" s="4">
        <f>SUMPRODUCT(--((A515=$A$3:$A$2785)*$H$3:$H$2785&gt;H515))+1</f>
        <v>114</v>
      </c>
    </row>
    <row r="516" s="1" customFormat="true" customHeight="true" spans="1:10">
      <c r="A516" s="4" t="str">
        <f t="shared" si="67"/>
        <v>011</v>
      </c>
      <c r="B516" s="4" t="s">
        <v>22</v>
      </c>
      <c r="C516" s="4" t="str">
        <f>"李铙"</f>
        <v>李铙</v>
      </c>
      <c r="D516" s="4" t="str">
        <f>"2021014104"</f>
        <v>2021014104</v>
      </c>
      <c r="E516" s="4" t="str">
        <f t="shared" si="71"/>
        <v>41</v>
      </c>
      <c r="F516" s="4" t="str">
        <f>"04"</f>
        <v>04</v>
      </c>
      <c r="G516" s="4" t="s">
        <v>12</v>
      </c>
      <c r="H516" s="5">
        <v>0</v>
      </c>
      <c r="I516" s="6" t="s">
        <v>13</v>
      </c>
      <c r="J516" s="4">
        <f>SUMPRODUCT(--((A516=$A$3:$A$2785)*$H$3:$H$2785&gt;H516))+1</f>
        <v>114</v>
      </c>
    </row>
    <row r="517" s="1" customFormat="true" customHeight="true" spans="1:10">
      <c r="A517" s="4" t="str">
        <f t="shared" si="67"/>
        <v>011</v>
      </c>
      <c r="B517" s="4" t="s">
        <v>22</v>
      </c>
      <c r="C517" s="4" t="str">
        <f>"谢莎莎"</f>
        <v>谢莎莎</v>
      </c>
      <c r="D517" s="4" t="str">
        <f>"2021014106"</f>
        <v>2021014106</v>
      </c>
      <c r="E517" s="4" t="str">
        <f t="shared" si="71"/>
        <v>41</v>
      </c>
      <c r="F517" s="4" t="str">
        <f>"06"</f>
        <v>06</v>
      </c>
      <c r="G517" s="4" t="s">
        <v>12</v>
      </c>
      <c r="H517" s="5">
        <v>0</v>
      </c>
      <c r="I517" s="6" t="s">
        <v>13</v>
      </c>
      <c r="J517" s="4">
        <f>SUMPRODUCT(--((A517=$A$3:$A$2785)*$H$3:$H$2785&gt;H517))+1</f>
        <v>114</v>
      </c>
    </row>
    <row r="518" s="1" customFormat="true" customHeight="true" spans="1:10">
      <c r="A518" s="4" t="str">
        <f t="shared" si="67"/>
        <v>011</v>
      </c>
      <c r="B518" s="4" t="s">
        <v>22</v>
      </c>
      <c r="C518" s="4" t="str">
        <f>"陈飞燕"</f>
        <v>陈飞燕</v>
      </c>
      <c r="D518" s="4" t="str">
        <f>"2021014108"</f>
        <v>2021014108</v>
      </c>
      <c r="E518" s="4" t="str">
        <f t="shared" si="71"/>
        <v>41</v>
      </c>
      <c r="F518" s="4" t="str">
        <f>"08"</f>
        <v>08</v>
      </c>
      <c r="G518" s="4" t="s">
        <v>12</v>
      </c>
      <c r="H518" s="5">
        <v>0</v>
      </c>
      <c r="I518" s="6" t="s">
        <v>13</v>
      </c>
      <c r="J518" s="4">
        <f>SUMPRODUCT(--((A518=$A$3:$A$2785)*$H$3:$H$2785&gt;H518))+1</f>
        <v>114</v>
      </c>
    </row>
    <row r="519" s="1" customFormat="true" customHeight="true" spans="1:10">
      <c r="A519" s="4" t="str">
        <f t="shared" si="67"/>
        <v>011</v>
      </c>
      <c r="B519" s="4" t="s">
        <v>22</v>
      </c>
      <c r="C519" s="4" t="str">
        <f>"曾旭"</f>
        <v>曾旭</v>
      </c>
      <c r="D519" s="4" t="str">
        <f>"2021014110"</f>
        <v>2021014110</v>
      </c>
      <c r="E519" s="4" t="str">
        <f t="shared" si="71"/>
        <v>41</v>
      </c>
      <c r="F519" s="4" t="str">
        <f>"10"</f>
        <v>10</v>
      </c>
      <c r="G519" s="4" t="s">
        <v>12</v>
      </c>
      <c r="H519" s="5">
        <v>0</v>
      </c>
      <c r="I519" s="6" t="s">
        <v>13</v>
      </c>
      <c r="J519" s="4">
        <f>SUMPRODUCT(--((A519=$A$3:$A$2785)*$H$3:$H$2785&gt;H519))+1</f>
        <v>114</v>
      </c>
    </row>
    <row r="520" s="1" customFormat="true" customHeight="true" spans="1:10">
      <c r="A520" s="4" t="str">
        <f t="shared" si="67"/>
        <v>011</v>
      </c>
      <c r="B520" s="4" t="s">
        <v>22</v>
      </c>
      <c r="C520" s="4" t="str">
        <f>"罗怡璇"</f>
        <v>罗怡璇</v>
      </c>
      <c r="D520" s="4" t="str">
        <f>"2021014111"</f>
        <v>2021014111</v>
      </c>
      <c r="E520" s="4" t="str">
        <f t="shared" si="71"/>
        <v>41</v>
      </c>
      <c r="F520" s="4" t="str">
        <f>"11"</f>
        <v>11</v>
      </c>
      <c r="G520" s="4" t="s">
        <v>12</v>
      </c>
      <c r="H520" s="5">
        <v>0</v>
      </c>
      <c r="I520" s="6" t="s">
        <v>13</v>
      </c>
      <c r="J520" s="4">
        <f>SUMPRODUCT(--((A520=$A$3:$A$2785)*$H$3:$H$2785&gt;H520))+1</f>
        <v>114</v>
      </c>
    </row>
    <row r="521" s="1" customFormat="true" customHeight="true" spans="1:10">
      <c r="A521" s="4" t="str">
        <f t="shared" si="67"/>
        <v>011</v>
      </c>
      <c r="B521" s="4" t="s">
        <v>22</v>
      </c>
      <c r="C521" s="4" t="str">
        <f>"周晶"</f>
        <v>周晶</v>
      </c>
      <c r="D521" s="4" t="str">
        <f>"2021014112"</f>
        <v>2021014112</v>
      </c>
      <c r="E521" s="4" t="str">
        <f t="shared" si="71"/>
        <v>41</v>
      </c>
      <c r="F521" s="4" t="str">
        <f>"12"</f>
        <v>12</v>
      </c>
      <c r="G521" s="4" t="s">
        <v>12</v>
      </c>
      <c r="H521" s="5">
        <v>0</v>
      </c>
      <c r="I521" s="6" t="s">
        <v>13</v>
      </c>
      <c r="J521" s="4">
        <f>SUMPRODUCT(--((A521=$A$3:$A$2785)*$H$3:$H$2785&gt;H521))+1</f>
        <v>114</v>
      </c>
    </row>
    <row r="522" s="1" customFormat="true" customHeight="true" spans="1:10">
      <c r="A522" s="4" t="str">
        <f t="shared" si="67"/>
        <v>011</v>
      </c>
      <c r="B522" s="4" t="s">
        <v>22</v>
      </c>
      <c r="C522" s="4" t="str">
        <f>"孙萍秀"</f>
        <v>孙萍秀</v>
      </c>
      <c r="D522" s="4" t="str">
        <f>"2021014114"</f>
        <v>2021014114</v>
      </c>
      <c r="E522" s="4" t="str">
        <f t="shared" si="71"/>
        <v>41</v>
      </c>
      <c r="F522" s="4" t="str">
        <f>"14"</f>
        <v>14</v>
      </c>
      <c r="G522" s="4" t="s">
        <v>12</v>
      </c>
      <c r="H522" s="5">
        <v>0</v>
      </c>
      <c r="I522" s="6" t="s">
        <v>13</v>
      </c>
      <c r="J522" s="4">
        <f>SUMPRODUCT(--((A522=$A$3:$A$2785)*$H$3:$H$2785&gt;H522))+1</f>
        <v>114</v>
      </c>
    </row>
    <row r="523" s="1" customFormat="true" customHeight="true" spans="1:10">
      <c r="A523" s="4" t="str">
        <f t="shared" si="67"/>
        <v>011</v>
      </c>
      <c r="B523" s="4" t="s">
        <v>22</v>
      </c>
      <c r="C523" s="4" t="str">
        <f>"李香"</f>
        <v>李香</v>
      </c>
      <c r="D523" s="4" t="str">
        <f>"2021014115"</f>
        <v>2021014115</v>
      </c>
      <c r="E523" s="4" t="str">
        <f t="shared" si="71"/>
        <v>41</v>
      </c>
      <c r="F523" s="4" t="str">
        <f>"15"</f>
        <v>15</v>
      </c>
      <c r="G523" s="4" t="s">
        <v>12</v>
      </c>
      <c r="H523" s="5">
        <v>0</v>
      </c>
      <c r="I523" s="6" t="s">
        <v>13</v>
      </c>
      <c r="J523" s="4">
        <f>SUMPRODUCT(--((A523=$A$3:$A$2785)*$H$3:$H$2785&gt;H523))+1</f>
        <v>114</v>
      </c>
    </row>
    <row r="524" s="1" customFormat="true" customHeight="true" spans="1:10">
      <c r="A524" s="4" t="str">
        <f t="shared" si="67"/>
        <v>011</v>
      </c>
      <c r="B524" s="4" t="s">
        <v>22</v>
      </c>
      <c r="C524" s="4" t="str">
        <f>"龙文丹"</f>
        <v>龙文丹</v>
      </c>
      <c r="D524" s="4" t="str">
        <f>"2021014119"</f>
        <v>2021014119</v>
      </c>
      <c r="E524" s="4" t="str">
        <f t="shared" si="71"/>
        <v>41</v>
      </c>
      <c r="F524" s="4" t="str">
        <f>"19"</f>
        <v>19</v>
      </c>
      <c r="G524" s="4" t="s">
        <v>12</v>
      </c>
      <c r="H524" s="5">
        <v>0</v>
      </c>
      <c r="I524" s="6" t="s">
        <v>13</v>
      </c>
      <c r="J524" s="4">
        <f>SUMPRODUCT(--((A524=$A$3:$A$2785)*$H$3:$H$2785&gt;H524))+1</f>
        <v>114</v>
      </c>
    </row>
    <row r="525" s="1" customFormat="true" customHeight="true" spans="1:10">
      <c r="A525" s="4" t="str">
        <f t="shared" si="67"/>
        <v>011</v>
      </c>
      <c r="B525" s="4" t="s">
        <v>22</v>
      </c>
      <c r="C525" s="4" t="str">
        <f>"杨飞"</f>
        <v>杨飞</v>
      </c>
      <c r="D525" s="4" t="str">
        <f>"2021014123"</f>
        <v>2021014123</v>
      </c>
      <c r="E525" s="4" t="str">
        <f t="shared" si="71"/>
        <v>41</v>
      </c>
      <c r="F525" s="4" t="str">
        <f>"23"</f>
        <v>23</v>
      </c>
      <c r="G525" s="4" t="s">
        <v>12</v>
      </c>
      <c r="H525" s="5">
        <v>0</v>
      </c>
      <c r="I525" s="6" t="s">
        <v>13</v>
      </c>
      <c r="J525" s="4">
        <f>SUMPRODUCT(--((A525=$A$3:$A$2785)*$H$3:$H$2785&gt;H525))+1</f>
        <v>114</v>
      </c>
    </row>
    <row r="526" s="1" customFormat="true" customHeight="true" spans="1:10">
      <c r="A526" s="4" t="str">
        <f t="shared" ref="A526:A528" si="72">"011"</f>
        <v>011</v>
      </c>
      <c r="B526" s="4" t="s">
        <v>22</v>
      </c>
      <c r="C526" s="4" t="str">
        <f>"谢雨珂"</f>
        <v>谢雨珂</v>
      </c>
      <c r="D526" s="4" t="str">
        <f>"2021014125"</f>
        <v>2021014125</v>
      </c>
      <c r="E526" s="4" t="str">
        <f t="shared" si="71"/>
        <v>41</v>
      </c>
      <c r="F526" s="4" t="str">
        <f>"25"</f>
        <v>25</v>
      </c>
      <c r="G526" s="4" t="s">
        <v>12</v>
      </c>
      <c r="H526" s="5">
        <v>0</v>
      </c>
      <c r="I526" s="6" t="s">
        <v>13</v>
      </c>
      <c r="J526" s="4">
        <f>SUMPRODUCT(--((A526=$A$3:$A$2785)*$H$3:$H$2785&gt;H526))+1</f>
        <v>114</v>
      </c>
    </row>
    <row r="527" s="1" customFormat="true" customHeight="true" spans="1:10">
      <c r="A527" s="4" t="str">
        <f t="shared" si="72"/>
        <v>011</v>
      </c>
      <c r="B527" s="4" t="s">
        <v>22</v>
      </c>
      <c r="C527" s="4" t="str">
        <f>"杨伟玲"</f>
        <v>杨伟玲</v>
      </c>
      <c r="D527" s="4" t="str">
        <f>"2021014127"</f>
        <v>2021014127</v>
      </c>
      <c r="E527" s="4" t="str">
        <f t="shared" si="71"/>
        <v>41</v>
      </c>
      <c r="F527" s="4" t="str">
        <f>"27"</f>
        <v>27</v>
      </c>
      <c r="G527" s="4" t="s">
        <v>12</v>
      </c>
      <c r="H527" s="5">
        <v>0</v>
      </c>
      <c r="I527" s="6" t="s">
        <v>13</v>
      </c>
      <c r="J527" s="4">
        <f>SUMPRODUCT(--((A527=$A$3:$A$2785)*$H$3:$H$2785&gt;H527))+1</f>
        <v>114</v>
      </c>
    </row>
    <row r="528" s="1" customFormat="true" customHeight="true" spans="1:10">
      <c r="A528" s="4" t="str">
        <f t="shared" si="72"/>
        <v>011</v>
      </c>
      <c r="B528" s="4" t="s">
        <v>22</v>
      </c>
      <c r="C528" s="4" t="str">
        <f>"李慧敏"</f>
        <v>李慧敏</v>
      </c>
      <c r="D528" s="4" t="str">
        <f>"2021014128"</f>
        <v>2021014128</v>
      </c>
      <c r="E528" s="4" t="str">
        <f t="shared" si="71"/>
        <v>41</v>
      </c>
      <c r="F528" s="4" t="str">
        <f>"28"</f>
        <v>28</v>
      </c>
      <c r="G528" s="4" t="s">
        <v>12</v>
      </c>
      <c r="H528" s="5">
        <v>0</v>
      </c>
      <c r="I528" s="6" t="s">
        <v>13</v>
      </c>
      <c r="J528" s="4">
        <f>SUMPRODUCT(--((A528=$A$3:$A$2785)*$H$3:$H$2785&gt;H528))+1</f>
        <v>114</v>
      </c>
    </row>
    <row r="529" s="1" customFormat="true" customHeight="true" spans="1:10">
      <c r="A529" s="4" t="str">
        <f t="shared" ref="A529:A540" si="73">"012"</f>
        <v>012</v>
      </c>
      <c r="B529" s="4" t="s">
        <v>23</v>
      </c>
      <c r="C529" s="4" t="str">
        <f>"熊瑶"</f>
        <v>熊瑶</v>
      </c>
      <c r="D529" s="4" t="str">
        <f>"2021014605"</f>
        <v>2021014605</v>
      </c>
      <c r="E529" s="4" t="str">
        <f>"46"</f>
        <v>46</v>
      </c>
      <c r="F529" s="4" t="str">
        <f>"05"</f>
        <v>05</v>
      </c>
      <c r="G529" s="4" t="s">
        <v>12</v>
      </c>
      <c r="H529" s="5">
        <v>72.9</v>
      </c>
      <c r="I529" s="4"/>
      <c r="J529" s="4">
        <f>SUMPRODUCT(--((A529=$A$3:$A$2785)*$H$3:$H$2785&gt;H529))+1</f>
        <v>1</v>
      </c>
    </row>
    <row r="530" s="1" customFormat="true" customHeight="true" spans="1:10">
      <c r="A530" s="4" t="str">
        <f t="shared" si="73"/>
        <v>012</v>
      </c>
      <c r="B530" s="4" t="s">
        <v>23</v>
      </c>
      <c r="C530" s="4" t="str">
        <f>"杨燕梅"</f>
        <v>杨燕梅</v>
      </c>
      <c r="D530" s="4" t="str">
        <f>"2021014529"</f>
        <v>2021014529</v>
      </c>
      <c r="E530" s="4" t="str">
        <f t="shared" ref="E530:E533" si="74">"45"</f>
        <v>45</v>
      </c>
      <c r="F530" s="4" t="str">
        <f>"29"</f>
        <v>29</v>
      </c>
      <c r="G530" s="4" t="s">
        <v>12</v>
      </c>
      <c r="H530" s="5">
        <v>72.85</v>
      </c>
      <c r="I530" s="4"/>
      <c r="J530" s="4">
        <f>SUMPRODUCT(--((A530=$A$3:$A$2785)*$H$3:$H$2785&gt;H530))+1</f>
        <v>2</v>
      </c>
    </row>
    <row r="531" s="1" customFormat="true" customHeight="true" spans="1:10">
      <c r="A531" s="4" t="str">
        <f t="shared" si="73"/>
        <v>012</v>
      </c>
      <c r="B531" s="4" t="s">
        <v>23</v>
      </c>
      <c r="C531" s="4" t="str">
        <f>"赵徽因"</f>
        <v>赵徽因</v>
      </c>
      <c r="D531" s="4" t="str">
        <f>"2021014525"</f>
        <v>2021014525</v>
      </c>
      <c r="E531" s="4" t="str">
        <f t="shared" si="74"/>
        <v>45</v>
      </c>
      <c r="F531" s="4" t="str">
        <f>"25"</f>
        <v>25</v>
      </c>
      <c r="G531" s="4" t="s">
        <v>12</v>
      </c>
      <c r="H531" s="5">
        <v>72.6</v>
      </c>
      <c r="I531" s="4"/>
      <c r="J531" s="4">
        <f>SUMPRODUCT(--((A531=$A$3:$A$2785)*$H$3:$H$2785&gt;H531))+1</f>
        <v>3</v>
      </c>
    </row>
    <row r="532" s="1" customFormat="true" customHeight="true" spans="1:10">
      <c r="A532" s="4" t="str">
        <f t="shared" si="73"/>
        <v>012</v>
      </c>
      <c r="B532" s="4" t="s">
        <v>23</v>
      </c>
      <c r="C532" s="4" t="str">
        <f>"曾欣欣"</f>
        <v>曾欣欣</v>
      </c>
      <c r="D532" s="4" t="str">
        <f>"2021014530"</f>
        <v>2021014530</v>
      </c>
      <c r="E532" s="4" t="str">
        <f t="shared" si="74"/>
        <v>45</v>
      </c>
      <c r="F532" s="4" t="str">
        <f>"30"</f>
        <v>30</v>
      </c>
      <c r="G532" s="4" t="s">
        <v>12</v>
      </c>
      <c r="H532" s="5">
        <v>70.45</v>
      </c>
      <c r="I532" s="4"/>
      <c r="J532" s="4">
        <f>SUMPRODUCT(--((A532=$A$3:$A$2785)*$H$3:$H$2785&gt;H532))+1</f>
        <v>4</v>
      </c>
    </row>
    <row r="533" s="1" customFormat="true" customHeight="true" spans="1:10">
      <c r="A533" s="4" t="str">
        <f t="shared" si="73"/>
        <v>012</v>
      </c>
      <c r="B533" s="4" t="s">
        <v>23</v>
      </c>
      <c r="C533" s="4" t="str">
        <f>"张宏立"</f>
        <v>张宏立</v>
      </c>
      <c r="D533" s="4" t="str">
        <f>"2021014527"</f>
        <v>2021014527</v>
      </c>
      <c r="E533" s="4" t="str">
        <f t="shared" si="74"/>
        <v>45</v>
      </c>
      <c r="F533" s="4" t="str">
        <f>"27"</f>
        <v>27</v>
      </c>
      <c r="G533" s="4" t="s">
        <v>12</v>
      </c>
      <c r="H533" s="5">
        <v>69.9</v>
      </c>
      <c r="I533" s="4"/>
      <c r="J533" s="4">
        <f>SUMPRODUCT(--((A533=$A$3:$A$2785)*$H$3:$H$2785&gt;H533))+1</f>
        <v>5</v>
      </c>
    </row>
    <row r="534" s="1" customFormat="true" customHeight="true" spans="1:10">
      <c r="A534" s="4" t="str">
        <f t="shared" si="73"/>
        <v>012</v>
      </c>
      <c r="B534" s="4" t="s">
        <v>23</v>
      </c>
      <c r="C534" s="4" t="str">
        <f>"李健兰"</f>
        <v>李健兰</v>
      </c>
      <c r="D534" s="4" t="str">
        <f>"2021014602"</f>
        <v>2021014602</v>
      </c>
      <c r="E534" s="4" t="str">
        <f t="shared" ref="E534:E540" si="75">"46"</f>
        <v>46</v>
      </c>
      <c r="F534" s="4" t="str">
        <f>"02"</f>
        <v>02</v>
      </c>
      <c r="G534" s="4" t="s">
        <v>12</v>
      </c>
      <c r="H534" s="5">
        <v>61.75</v>
      </c>
      <c r="I534" s="4"/>
      <c r="J534" s="4">
        <f>SUMPRODUCT(--((A534=$A$3:$A$2785)*$H$3:$H$2785&gt;H534))+1</f>
        <v>6</v>
      </c>
    </row>
    <row r="535" s="1" customFormat="true" customHeight="true" spans="1:10">
      <c r="A535" s="4" t="str">
        <f t="shared" si="73"/>
        <v>012</v>
      </c>
      <c r="B535" s="4" t="s">
        <v>23</v>
      </c>
      <c r="C535" s="4" t="str">
        <f>"刘敏"</f>
        <v>刘敏</v>
      </c>
      <c r="D535" s="4" t="str">
        <f>"2021014526"</f>
        <v>2021014526</v>
      </c>
      <c r="E535" s="4" t="str">
        <f>"45"</f>
        <v>45</v>
      </c>
      <c r="F535" s="4" t="str">
        <f>"26"</f>
        <v>26</v>
      </c>
      <c r="G535" s="4" t="s">
        <v>12</v>
      </c>
      <c r="H535" s="5">
        <v>0</v>
      </c>
      <c r="I535" s="6" t="s">
        <v>13</v>
      </c>
      <c r="J535" s="4">
        <f>SUMPRODUCT(--((A535=$A$3:$A$2785)*$H$3:$H$2785&gt;H535))+1</f>
        <v>7</v>
      </c>
    </row>
    <row r="536" s="1" customFormat="true" customHeight="true" spans="1:10">
      <c r="A536" s="4" t="str">
        <f t="shared" si="73"/>
        <v>012</v>
      </c>
      <c r="B536" s="4" t="s">
        <v>23</v>
      </c>
      <c r="C536" s="4" t="str">
        <f>"余倩琳"</f>
        <v>余倩琳</v>
      </c>
      <c r="D536" s="4" t="str">
        <f>"2021014528"</f>
        <v>2021014528</v>
      </c>
      <c r="E536" s="4" t="str">
        <f>"45"</f>
        <v>45</v>
      </c>
      <c r="F536" s="4" t="str">
        <f>"28"</f>
        <v>28</v>
      </c>
      <c r="G536" s="4" t="s">
        <v>12</v>
      </c>
      <c r="H536" s="5">
        <v>0</v>
      </c>
      <c r="I536" s="6" t="s">
        <v>13</v>
      </c>
      <c r="J536" s="4">
        <f>SUMPRODUCT(--((A536=$A$3:$A$2785)*$H$3:$H$2785&gt;H536))+1</f>
        <v>7</v>
      </c>
    </row>
    <row r="537" s="1" customFormat="true" customHeight="true" spans="1:10">
      <c r="A537" s="4" t="str">
        <f t="shared" si="73"/>
        <v>012</v>
      </c>
      <c r="B537" s="4" t="s">
        <v>23</v>
      </c>
      <c r="C537" s="4" t="str">
        <f>"杨金燕"</f>
        <v>杨金燕</v>
      </c>
      <c r="D537" s="4" t="str">
        <f>"2021014601"</f>
        <v>2021014601</v>
      </c>
      <c r="E537" s="4" t="str">
        <f t="shared" si="75"/>
        <v>46</v>
      </c>
      <c r="F537" s="4" t="str">
        <f>"01"</f>
        <v>01</v>
      </c>
      <c r="G537" s="4" t="s">
        <v>12</v>
      </c>
      <c r="H537" s="5">
        <v>0</v>
      </c>
      <c r="I537" s="6" t="s">
        <v>13</v>
      </c>
      <c r="J537" s="4">
        <f>SUMPRODUCT(--((A537=$A$3:$A$2785)*$H$3:$H$2785&gt;H537))+1</f>
        <v>7</v>
      </c>
    </row>
    <row r="538" s="1" customFormat="true" customHeight="true" spans="1:10">
      <c r="A538" s="4" t="str">
        <f t="shared" si="73"/>
        <v>012</v>
      </c>
      <c r="B538" s="4" t="s">
        <v>23</v>
      </c>
      <c r="C538" s="4" t="str">
        <f>"晏露"</f>
        <v>晏露</v>
      </c>
      <c r="D538" s="4" t="str">
        <f>"2021014603"</f>
        <v>2021014603</v>
      </c>
      <c r="E538" s="4" t="str">
        <f t="shared" si="75"/>
        <v>46</v>
      </c>
      <c r="F538" s="4" t="str">
        <f>"03"</f>
        <v>03</v>
      </c>
      <c r="G538" s="4" t="s">
        <v>12</v>
      </c>
      <c r="H538" s="5">
        <v>0</v>
      </c>
      <c r="I538" s="6" t="s">
        <v>13</v>
      </c>
      <c r="J538" s="4">
        <f>SUMPRODUCT(--((A538=$A$3:$A$2785)*$H$3:$H$2785&gt;H538))+1</f>
        <v>7</v>
      </c>
    </row>
    <row r="539" s="1" customFormat="true" customHeight="true" spans="1:10">
      <c r="A539" s="4" t="str">
        <f t="shared" si="73"/>
        <v>012</v>
      </c>
      <c r="B539" s="4" t="s">
        <v>23</v>
      </c>
      <c r="C539" s="4" t="str">
        <f>"张方霞"</f>
        <v>张方霞</v>
      </c>
      <c r="D539" s="4" t="str">
        <f>"2021014604"</f>
        <v>2021014604</v>
      </c>
      <c r="E539" s="4" t="str">
        <f t="shared" si="75"/>
        <v>46</v>
      </c>
      <c r="F539" s="4" t="str">
        <f>"04"</f>
        <v>04</v>
      </c>
      <c r="G539" s="4" t="s">
        <v>12</v>
      </c>
      <c r="H539" s="5">
        <v>0</v>
      </c>
      <c r="I539" s="6" t="s">
        <v>13</v>
      </c>
      <c r="J539" s="4">
        <f>SUMPRODUCT(--((A539=$A$3:$A$2785)*$H$3:$H$2785&gt;H539))+1</f>
        <v>7</v>
      </c>
    </row>
    <row r="540" s="1" customFormat="true" customHeight="true" spans="1:10">
      <c r="A540" s="4" t="str">
        <f t="shared" si="73"/>
        <v>012</v>
      </c>
      <c r="B540" s="4" t="s">
        <v>23</v>
      </c>
      <c r="C540" s="4" t="str">
        <f>"杨文萍"</f>
        <v>杨文萍</v>
      </c>
      <c r="D540" s="4" t="str">
        <f>"2021014606"</f>
        <v>2021014606</v>
      </c>
      <c r="E540" s="4" t="str">
        <f t="shared" si="75"/>
        <v>46</v>
      </c>
      <c r="F540" s="4" t="str">
        <f>"06"</f>
        <v>06</v>
      </c>
      <c r="G540" s="4" t="s">
        <v>12</v>
      </c>
      <c r="H540" s="5">
        <v>0</v>
      </c>
      <c r="I540" s="6" t="s">
        <v>13</v>
      </c>
      <c r="J540" s="4">
        <f>SUMPRODUCT(--((A540=$A$3:$A$2785)*$H$3:$H$2785&gt;H540))+1</f>
        <v>7</v>
      </c>
    </row>
    <row r="541" s="1" customFormat="true" customHeight="true" spans="1:10">
      <c r="A541" s="4" t="str">
        <f t="shared" ref="A541:A554" si="76">"013"</f>
        <v>013</v>
      </c>
      <c r="B541" s="4" t="s">
        <v>24</v>
      </c>
      <c r="C541" s="4" t="str">
        <f>"沈崇轩"</f>
        <v>沈崇轩</v>
      </c>
      <c r="D541" s="4" t="str">
        <f>"2021014730"</f>
        <v>2021014730</v>
      </c>
      <c r="E541" s="4" t="str">
        <f t="shared" ref="E541:E544" si="77">"47"</f>
        <v>47</v>
      </c>
      <c r="F541" s="4" t="str">
        <f>"30"</f>
        <v>30</v>
      </c>
      <c r="G541" s="4" t="s">
        <v>12</v>
      </c>
      <c r="H541" s="5">
        <v>78.75</v>
      </c>
      <c r="I541" s="4"/>
      <c r="J541" s="4">
        <f>SUMPRODUCT(--((A541=$A$3:$A$2785)*$H$3:$H$2785&gt;H541))+1</f>
        <v>1</v>
      </c>
    </row>
    <row r="542" s="1" customFormat="true" customHeight="true" spans="1:10">
      <c r="A542" s="4" t="str">
        <f t="shared" si="76"/>
        <v>013</v>
      </c>
      <c r="B542" s="4" t="s">
        <v>24</v>
      </c>
      <c r="C542" s="4" t="str">
        <f>"谌鑫"</f>
        <v>谌鑫</v>
      </c>
      <c r="D542" s="4" t="str">
        <f>"2021014729"</f>
        <v>2021014729</v>
      </c>
      <c r="E542" s="4" t="str">
        <f t="shared" si="77"/>
        <v>47</v>
      </c>
      <c r="F542" s="4" t="str">
        <f>"29"</f>
        <v>29</v>
      </c>
      <c r="G542" s="4" t="s">
        <v>12</v>
      </c>
      <c r="H542" s="5">
        <v>74.75</v>
      </c>
      <c r="I542" s="4"/>
      <c r="J542" s="4">
        <f>SUMPRODUCT(--((A542=$A$3:$A$2785)*$H$3:$H$2785&gt;H542))+1</f>
        <v>2</v>
      </c>
    </row>
    <row r="543" s="1" customFormat="true" customHeight="true" spans="1:10">
      <c r="A543" s="4" t="str">
        <f t="shared" si="76"/>
        <v>013</v>
      </c>
      <c r="B543" s="4" t="s">
        <v>24</v>
      </c>
      <c r="C543" s="4" t="str">
        <f>"林槺"</f>
        <v>林槺</v>
      </c>
      <c r="D543" s="4" t="str">
        <f>"2021014721"</f>
        <v>2021014721</v>
      </c>
      <c r="E543" s="4" t="str">
        <f t="shared" si="77"/>
        <v>47</v>
      </c>
      <c r="F543" s="4" t="str">
        <f>"21"</f>
        <v>21</v>
      </c>
      <c r="G543" s="4" t="s">
        <v>12</v>
      </c>
      <c r="H543" s="5">
        <v>64.25</v>
      </c>
      <c r="I543" s="4"/>
      <c r="J543" s="4">
        <f>SUMPRODUCT(--((A543=$A$3:$A$2785)*$H$3:$H$2785&gt;H543))+1</f>
        <v>3</v>
      </c>
    </row>
    <row r="544" s="1" customFormat="true" customHeight="true" spans="1:10">
      <c r="A544" s="4" t="str">
        <f t="shared" si="76"/>
        <v>013</v>
      </c>
      <c r="B544" s="4" t="s">
        <v>24</v>
      </c>
      <c r="C544" s="4" t="str">
        <f>"匡珊"</f>
        <v>匡珊</v>
      </c>
      <c r="D544" s="4" t="str">
        <f>"2021014726"</f>
        <v>2021014726</v>
      </c>
      <c r="E544" s="4" t="str">
        <f t="shared" si="77"/>
        <v>47</v>
      </c>
      <c r="F544" s="4" t="str">
        <f>"26"</f>
        <v>26</v>
      </c>
      <c r="G544" s="4" t="s">
        <v>12</v>
      </c>
      <c r="H544" s="5">
        <v>63</v>
      </c>
      <c r="I544" s="4"/>
      <c r="J544" s="4">
        <f>SUMPRODUCT(--((A544=$A$3:$A$2785)*$H$3:$H$2785&gt;H544))+1</f>
        <v>4</v>
      </c>
    </row>
    <row r="545" s="1" customFormat="true" customHeight="true" spans="1:10">
      <c r="A545" s="4" t="str">
        <f t="shared" si="76"/>
        <v>013</v>
      </c>
      <c r="B545" s="4" t="s">
        <v>24</v>
      </c>
      <c r="C545" s="4" t="str">
        <f>"刘京灵"</f>
        <v>刘京灵</v>
      </c>
      <c r="D545" s="4" t="str">
        <f>"2021014801"</f>
        <v>2021014801</v>
      </c>
      <c r="E545" s="4" t="str">
        <f>"48"</f>
        <v>48</v>
      </c>
      <c r="F545" s="4" t="str">
        <f>"01"</f>
        <v>01</v>
      </c>
      <c r="G545" s="4" t="s">
        <v>12</v>
      </c>
      <c r="H545" s="5">
        <v>50.5</v>
      </c>
      <c r="I545" s="4"/>
      <c r="J545" s="4">
        <f>SUMPRODUCT(--((A545=$A$3:$A$2785)*$H$3:$H$2785&gt;H545))+1</f>
        <v>5</v>
      </c>
    </row>
    <row r="546" s="1" customFormat="true" customHeight="true" spans="1:10">
      <c r="A546" s="4" t="str">
        <f t="shared" si="76"/>
        <v>013</v>
      </c>
      <c r="B546" s="4" t="s">
        <v>24</v>
      </c>
      <c r="C546" s="4" t="str">
        <f>"王芳慧"</f>
        <v>王芳慧</v>
      </c>
      <c r="D546" s="4" t="str">
        <f>"2021014803"</f>
        <v>2021014803</v>
      </c>
      <c r="E546" s="4" t="str">
        <f>"48"</f>
        <v>48</v>
      </c>
      <c r="F546" s="4" t="str">
        <f>"03"</f>
        <v>03</v>
      </c>
      <c r="G546" s="4" t="s">
        <v>12</v>
      </c>
      <c r="H546" s="5">
        <v>42.5</v>
      </c>
      <c r="I546" s="4"/>
      <c r="J546" s="4">
        <f>SUMPRODUCT(--((A546=$A$3:$A$2785)*$H$3:$H$2785&gt;H546))+1</f>
        <v>6</v>
      </c>
    </row>
    <row r="547" s="1" customFormat="true" customHeight="true" spans="1:10">
      <c r="A547" s="4" t="str">
        <f t="shared" si="76"/>
        <v>013</v>
      </c>
      <c r="B547" s="4" t="s">
        <v>24</v>
      </c>
      <c r="C547" s="4" t="str">
        <f>"周胜"</f>
        <v>周胜</v>
      </c>
      <c r="D547" s="4" t="str">
        <f>"2021014722"</f>
        <v>2021014722</v>
      </c>
      <c r="E547" s="4" t="str">
        <f t="shared" ref="E547:E552" si="78">"47"</f>
        <v>47</v>
      </c>
      <c r="F547" s="4" t="str">
        <f>"22"</f>
        <v>22</v>
      </c>
      <c r="G547" s="4" t="s">
        <v>12</v>
      </c>
      <c r="H547" s="5">
        <v>0</v>
      </c>
      <c r="I547" s="6" t="s">
        <v>13</v>
      </c>
      <c r="J547" s="4">
        <f>SUMPRODUCT(--((A547=$A$3:$A$2785)*$H$3:$H$2785&gt;H547))+1</f>
        <v>7</v>
      </c>
    </row>
    <row r="548" s="1" customFormat="true" customHeight="true" spans="1:10">
      <c r="A548" s="4" t="str">
        <f t="shared" si="76"/>
        <v>013</v>
      </c>
      <c r="B548" s="4" t="s">
        <v>24</v>
      </c>
      <c r="C548" s="4" t="str">
        <f>"汤灿"</f>
        <v>汤灿</v>
      </c>
      <c r="D548" s="4" t="str">
        <f>"2021014723"</f>
        <v>2021014723</v>
      </c>
      <c r="E548" s="4" t="str">
        <f t="shared" si="78"/>
        <v>47</v>
      </c>
      <c r="F548" s="4" t="str">
        <f>"23"</f>
        <v>23</v>
      </c>
      <c r="G548" s="4" t="s">
        <v>12</v>
      </c>
      <c r="H548" s="5">
        <v>0</v>
      </c>
      <c r="I548" s="6" t="s">
        <v>13</v>
      </c>
      <c r="J548" s="4">
        <f>SUMPRODUCT(--((A548=$A$3:$A$2785)*$H$3:$H$2785&gt;H548))+1</f>
        <v>7</v>
      </c>
    </row>
    <row r="549" s="1" customFormat="true" customHeight="true" spans="1:10">
      <c r="A549" s="4" t="str">
        <f t="shared" si="76"/>
        <v>013</v>
      </c>
      <c r="B549" s="4" t="s">
        <v>24</v>
      </c>
      <c r="C549" s="4" t="str">
        <f>"黄炜"</f>
        <v>黄炜</v>
      </c>
      <c r="D549" s="4" t="str">
        <f>"2021014724"</f>
        <v>2021014724</v>
      </c>
      <c r="E549" s="4" t="str">
        <f t="shared" si="78"/>
        <v>47</v>
      </c>
      <c r="F549" s="4" t="str">
        <f>"24"</f>
        <v>24</v>
      </c>
      <c r="G549" s="4" t="s">
        <v>12</v>
      </c>
      <c r="H549" s="5">
        <v>0</v>
      </c>
      <c r="I549" s="6" t="s">
        <v>13</v>
      </c>
      <c r="J549" s="4">
        <f>SUMPRODUCT(--((A549=$A$3:$A$2785)*$H$3:$H$2785&gt;H549))+1</f>
        <v>7</v>
      </c>
    </row>
    <row r="550" s="1" customFormat="true" customHeight="true" spans="1:10">
      <c r="A550" s="4" t="str">
        <f t="shared" si="76"/>
        <v>013</v>
      </c>
      <c r="B550" s="4" t="s">
        <v>24</v>
      </c>
      <c r="C550" s="4" t="str">
        <f>"石继荣"</f>
        <v>石继荣</v>
      </c>
      <c r="D550" s="4" t="str">
        <f>"2021014725"</f>
        <v>2021014725</v>
      </c>
      <c r="E550" s="4" t="str">
        <f t="shared" si="78"/>
        <v>47</v>
      </c>
      <c r="F550" s="4" t="str">
        <f>"25"</f>
        <v>25</v>
      </c>
      <c r="G550" s="4" t="s">
        <v>12</v>
      </c>
      <c r="H550" s="5">
        <v>0</v>
      </c>
      <c r="I550" s="6" t="s">
        <v>13</v>
      </c>
      <c r="J550" s="4">
        <f>SUMPRODUCT(--((A550=$A$3:$A$2785)*$H$3:$H$2785&gt;H550))+1</f>
        <v>7</v>
      </c>
    </row>
    <row r="551" s="1" customFormat="true" customHeight="true" spans="1:10">
      <c r="A551" s="4" t="str">
        <f t="shared" si="76"/>
        <v>013</v>
      </c>
      <c r="B551" s="4" t="s">
        <v>24</v>
      </c>
      <c r="C551" s="4" t="str">
        <f>"储侍军"</f>
        <v>储侍军</v>
      </c>
      <c r="D551" s="4" t="str">
        <f>"2021014727"</f>
        <v>2021014727</v>
      </c>
      <c r="E551" s="4" t="str">
        <f t="shared" si="78"/>
        <v>47</v>
      </c>
      <c r="F551" s="4" t="str">
        <f>"27"</f>
        <v>27</v>
      </c>
      <c r="G551" s="4" t="s">
        <v>12</v>
      </c>
      <c r="H551" s="5">
        <v>0</v>
      </c>
      <c r="I551" s="6" t="s">
        <v>13</v>
      </c>
      <c r="J551" s="4">
        <f>SUMPRODUCT(--((A551=$A$3:$A$2785)*$H$3:$H$2785&gt;H551))+1</f>
        <v>7</v>
      </c>
    </row>
    <row r="552" s="1" customFormat="true" customHeight="true" spans="1:10">
      <c r="A552" s="4" t="str">
        <f t="shared" si="76"/>
        <v>013</v>
      </c>
      <c r="B552" s="4" t="s">
        <v>24</v>
      </c>
      <c r="C552" s="4" t="str">
        <f>"樊云"</f>
        <v>樊云</v>
      </c>
      <c r="D552" s="4" t="str">
        <f>"2021014728"</f>
        <v>2021014728</v>
      </c>
      <c r="E552" s="4" t="str">
        <f t="shared" si="78"/>
        <v>47</v>
      </c>
      <c r="F552" s="4" t="str">
        <f>"28"</f>
        <v>28</v>
      </c>
      <c r="G552" s="4" t="s">
        <v>12</v>
      </c>
      <c r="H552" s="5">
        <v>0</v>
      </c>
      <c r="I552" s="6" t="s">
        <v>13</v>
      </c>
      <c r="J552" s="4">
        <f>SUMPRODUCT(--((A552=$A$3:$A$2785)*$H$3:$H$2785&gt;H552))+1</f>
        <v>7</v>
      </c>
    </row>
    <row r="553" s="1" customFormat="true" customHeight="true" spans="1:10">
      <c r="A553" s="4" t="str">
        <f t="shared" si="76"/>
        <v>013</v>
      </c>
      <c r="B553" s="4" t="s">
        <v>24</v>
      </c>
      <c r="C553" s="4" t="str">
        <f>"于景红"</f>
        <v>于景红</v>
      </c>
      <c r="D553" s="4" t="str">
        <f>"2021014802"</f>
        <v>2021014802</v>
      </c>
      <c r="E553" s="4" t="str">
        <f t="shared" ref="E553:E555" si="79">"48"</f>
        <v>48</v>
      </c>
      <c r="F553" s="4" t="str">
        <f>"02"</f>
        <v>02</v>
      </c>
      <c r="G553" s="4" t="s">
        <v>12</v>
      </c>
      <c r="H553" s="5">
        <v>0</v>
      </c>
      <c r="I553" s="6" t="s">
        <v>13</v>
      </c>
      <c r="J553" s="4">
        <f>SUMPRODUCT(--((A553=$A$3:$A$2785)*$H$3:$H$2785&gt;H553))+1</f>
        <v>7</v>
      </c>
    </row>
    <row r="554" s="1" customFormat="true" customHeight="true" spans="1:10">
      <c r="A554" s="4" t="str">
        <f t="shared" si="76"/>
        <v>013</v>
      </c>
      <c r="B554" s="4" t="s">
        <v>24</v>
      </c>
      <c r="C554" s="4" t="str">
        <f>"刘旭林"</f>
        <v>刘旭林</v>
      </c>
      <c r="D554" s="4" t="str">
        <f>"2021014804"</f>
        <v>2021014804</v>
      </c>
      <c r="E554" s="4" t="str">
        <f t="shared" si="79"/>
        <v>48</v>
      </c>
      <c r="F554" s="4" t="str">
        <f>"04"</f>
        <v>04</v>
      </c>
      <c r="G554" s="4" t="s">
        <v>12</v>
      </c>
      <c r="H554" s="5">
        <v>0</v>
      </c>
      <c r="I554" s="6" t="s">
        <v>13</v>
      </c>
      <c r="J554" s="4">
        <f>SUMPRODUCT(--((A554=$A$3:$A$2785)*$H$3:$H$2785&gt;H554))+1</f>
        <v>7</v>
      </c>
    </row>
    <row r="555" s="1" customFormat="true" customHeight="true" spans="1:10">
      <c r="A555" s="4" t="str">
        <f t="shared" ref="A555:A602" si="80">"014"</f>
        <v>014</v>
      </c>
      <c r="B555" s="4" t="s">
        <v>25</v>
      </c>
      <c r="C555" s="4" t="str">
        <f>"黄倩"</f>
        <v>黄倩</v>
      </c>
      <c r="D555" s="4" t="str">
        <f>"2021014830"</f>
        <v>2021014830</v>
      </c>
      <c r="E555" s="4" t="str">
        <f t="shared" si="79"/>
        <v>48</v>
      </c>
      <c r="F555" s="4" t="str">
        <f>"30"</f>
        <v>30</v>
      </c>
      <c r="G555" s="4" t="s">
        <v>12</v>
      </c>
      <c r="H555" s="5">
        <v>77.45</v>
      </c>
      <c r="I555" s="4"/>
      <c r="J555" s="4">
        <f>SUMPRODUCT(--((A555=$A$3:$A$2785)*$H$3:$H$2785&gt;H555))+1</f>
        <v>1</v>
      </c>
    </row>
    <row r="556" s="1" customFormat="true" customHeight="true" spans="1:10">
      <c r="A556" s="4" t="str">
        <f t="shared" si="80"/>
        <v>014</v>
      </c>
      <c r="B556" s="4" t="s">
        <v>25</v>
      </c>
      <c r="C556" s="4" t="str">
        <f>"王丹"</f>
        <v>王丹</v>
      </c>
      <c r="D556" s="4" t="str">
        <f>"2021014909"</f>
        <v>2021014909</v>
      </c>
      <c r="E556" s="4" t="str">
        <f t="shared" ref="E556:E561" si="81">"49"</f>
        <v>49</v>
      </c>
      <c r="F556" s="4" t="str">
        <f>"09"</f>
        <v>09</v>
      </c>
      <c r="G556" s="4" t="s">
        <v>12</v>
      </c>
      <c r="H556" s="5">
        <v>76.2</v>
      </c>
      <c r="I556" s="4"/>
      <c r="J556" s="4">
        <f>SUMPRODUCT(--((A556=$A$3:$A$2785)*$H$3:$H$2785&gt;H556))+1</f>
        <v>2</v>
      </c>
    </row>
    <row r="557" s="1" customFormat="true" customHeight="true" spans="1:10">
      <c r="A557" s="4" t="str">
        <f t="shared" si="80"/>
        <v>014</v>
      </c>
      <c r="B557" s="4" t="s">
        <v>25</v>
      </c>
      <c r="C557" s="4" t="str">
        <f>"李春枚"</f>
        <v>李春枚</v>
      </c>
      <c r="D557" s="4" t="str">
        <f>"2021014914"</f>
        <v>2021014914</v>
      </c>
      <c r="E557" s="4" t="str">
        <f t="shared" si="81"/>
        <v>49</v>
      </c>
      <c r="F557" s="4" t="str">
        <f>"14"</f>
        <v>14</v>
      </c>
      <c r="G557" s="4" t="s">
        <v>12</v>
      </c>
      <c r="H557" s="5">
        <v>75.4</v>
      </c>
      <c r="I557" s="4"/>
      <c r="J557" s="4">
        <f>SUMPRODUCT(--((A557=$A$3:$A$2785)*$H$3:$H$2785&gt;H557))+1</f>
        <v>3</v>
      </c>
    </row>
    <row r="558" s="1" customFormat="true" customHeight="true" spans="1:10">
      <c r="A558" s="4" t="str">
        <f t="shared" si="80"/>
        <v>014</v>
      </c>
      <c r="B558" s="4" t="s">
        <v>25</v>
      </c>
      <c r="C558" s="4" t="str">
        <f>"刘菲"</f>
        <v>刘菲</v>
      </c>
      <c r="D558" s="4" t="str">
        <f>"2021014817"</f>
        <v>2021014817</v>
      </c>
      <c r="E558" s="4" t="str">
        <f t="shared" ref="E558:E560" si="82">"48"</f>
        <v>48</v>
      </c>
      <c r="F558" s="4" t="str">
        <f>"17"</f>
        <v>17</v>
      </c>
      <c r="G558" s="4" t="s">
        <v>12</v>
      </c>
      <c r="H558" s="5">
        <v>73.95</v>
      </c>
      <c r="I558" s="4"/>
      <c r="J558" s="4">
        <f>SUMPRODUCT(--((A558=$A$3:$A$2785)*$H$3:$H$2785&gt;H558))+1</f>
        <v>4</v>
      </c>
    </row>
    <row r="559" s="1" customFormat="true" customHeight="true" spans="1:10">
      <c r="A559" s="4" t="str">
        <f t="shared" si="80"/>
        <v>014</v>
      </c>
      <c r="B559" s="4" t="s">
        <v>25</v>
      </c>
      <c r="C559" s="4" t="str">
        <f>"刘玉琛"</f>
        <v>刘玉琛</v>
      </c>
      <c r="D559" s="4" t="str">
        <f>"2021014805"</f>
        <v>2021014805</v>
      </c>
      <c r="E559" s="4" t="str">
        <f t="shared" si="82"/>
        <v>48</v>
      </c>
      <c r="F559" s="4" t="str">
        <f>"05"</f>
        <v>05</v>
      </c>
      <c r="G559" s="4" t="s">
        <v>12</v>
      </c>
      <c r="H559" s="5">
        <v>70.65</v>
      </c>
      <c r="I559" s="4"/>
      <c r="J559" s="4">
        <f>SUMPRODUCT(--((A559=$A$3:$A$2785)*$H$3:$H$2785&gt;H559))+1</f>
        <v>5</v>
      </c>
    </row>
    <row r="560" s="1" customFormat="true" customHeight="true" spans="1:10">
      <c r="A560" s="4" t="str">
        <f t="shared" si="80"/>
        <v>014</v>
      </c>
      <c r="B560" s="4" t="s">
        <v>25</v>
      </c>
      <c r="C560" s="4" t="str">
        <f>"全福康"</f>
        <v>全福康</v>
      </c>
      <c r="D560" s="4" t="str">
        <f>"2021014820"</f>
        <v>2021014820</v>
      </c>
      <c r="E560" s="4" t="str">
        <f t="shared" si="82"/>
        <v>48</v>
      </c>
      <c r="F560" s="4" t="str">
        <f>"20"</f>
        <v>20</v>
      </c>
      <c r="G560" s="4" t="s">
        <v>12</v>
      </c>
      <c r="H560" s="5">
        <v>69.45</v>
      </c>
      <c r="I560" s="4"/>
      <c r="J560" s="4">
        <f>SUMPRODUCT(--((A560=$A$3:$A$2785)*$H$3:$H$2785&gt;H560))+1</f>
        <v>6</v>
      </c>
    </row>
    <row r="561" s="1" customFormat="true" customHeight="true" spans="1:10">
      <c r="A561" s="4" t="str">
        <f t="shared" si="80"/>
        <v>014</v>
      </c>
      <c r="B561" s="4" t="s">
        <v>25</v>
      </c>
      <c r="C561" s="4" t="str">
        <f>"刘小梅"</f>
        <v>刘小梅</v>
      </c>
      <c r="D561" s="4" t="str">
        <f>"2021014905"</f>
        <v>2021014905</v>
      </c>
      <c r="E561" s="4" t="str">
        <f t="shared" si="81"/>
        <v>49</v>
      </c>
      <c r="F561" s="4" t="str">
        <f>"05"</f>
        <v>05</v>
      </c>
      <c r="G561" s="4" t="s">
        <v>12</v>
      </c>
      <c r="H561" s="5">
        <v>67.9</v>
      </c>
      <c r="I561" s="4"/>
      <c r="J561" s="4">
        <f>SUMPRODUCT(--((A561=$A$3:$A$2785)*$H$3:$H$2785&gt;H561))+1</f>
        <v>7</v>
      </c>
    </row>
    <row r="562" s="1" customFormat="true" customHeight="true" spans="1:10">
      <c r="A562" s="4" t="str">
        <f t="shared" si="80"/>
        <v>014</v>
      </c>
      <c r="B562" s="4" t="s">
        <v>25</v>
      </c>
      <c r="C562" s="4" t="str">
        <f>"舒美玲"</f>
        <v>舒美玲</v>
      </c>
      <c r="D562" s="4" t="str">
        <f>"2021014824"</f>
        <v>2021014824</v>
      </c>
      <c r="E562" s="4" t="str">
        <f t="shared" ref="E562:E571" si="83">"48"</f>
        <v>48</v>
      </c>
      <c r="F562" s="4" t="str">
        <f>"24"</f>
        <v>24</v>
      </c>
      <c r="G562" s="4" t="s">
        <v>12</v>
      </c>
      <c r="H562" s="5">
        <v>66.8</v>
      </c>
      <c r="I562" s="4"/>
      <c r="J562" s="4">
        <f>SUMPRODUCT(--((A562=$A$3:$A$2785)*$H$3:$H$2785&gt;H562))+1</f>
        <v>8</v>
      </c>
    </row>
    <row r="563" s="1" customFormat="true" customHeight="true" spans="1:10">
      <c r="A563" s="4" t="str">
        <f t="shared" si="80"/>
        <v>014</v>
      </c>
      <c r="B563" s="4" t="s">
        <v>25</v>
      </c>
      <c r="C563" s="4" t="str">
        <f>"贺思远"</f>
        <v>贺思远</v>
      </c>
      <c r="D563" s="4" t="str">
        <f>"2021014814"</f>
        <v>2021014814</v>
      </c>
      <c r="E563" s="4" t="str">
        <f t="shared" si="83"/>
        <v>48</v>
      </c>
      <c r="F563" s="4" t="str">
        <f>"14"</f>
        <v>14</v>
      </c>
      <c r="G563" s="4" t="s">
        <v>12</v>
      </c>
      <c r="H563" s="5">
        <v>65.25</v>
      </c>
      <c r="I563" s="4"/>
      <c r="J563" s="4">
        <f>SUMPRODUCT(--((A563=$A$3:$A$2785)*$H$3:$H$2785&gt;H563))+1</f>
        <v>9</v>
      </c>
    </row>
    <row r="564" s="1" customFormat="true" customHeight="true" spans="1:10">
      <c r="A564" s="4" t="str">
        <f t="shared" si="80"/>
        <v>014</v>
      </c>
      <c r="B564" s="4" t="s">
        <v>25</v>
      </c>
      <c r="C564" s="4" t="str">
        <f>"彭茜"</f>
        <v>彭茜</v>
      </c>
      <c r="D564" s="4" t="str">
        <f>"2021014906"</f>
        <v>2021014906</v>
      </c>
      <c r="E564" s="4" t="str">
        <f t="shared" ref="E564:E566" si="84">"49"</f>
        <v>49</v>
      </c>
      <c r="F564" s="4" t="str">
        <f>"06"</f>
        <v>06</v>
      </c>
      <c r="G564" s="4" t="s">
        <v>12</v>
      </c>
      <c r="H564" s="5">
        <v>62</v>
      </c>
      <c r="I564" s="4"/>
      <c r="J564" s="4">
        <f>SUMPRODUCT(--((A564=$A$3:$A$2785)*$H$3:$H$2785&gt;H564))+1</f>
        <v>10</v>
      </c>
    </row>
    <row r="565" s="1" customFormat="true" customHeight="true" spans="1:10">
      <c r="A565" s="4" t="str">
        <f t="shared" si="80"/>
        <v>014</v>
      </c>
      <c r="B565" s="4" t="s">
        <v>25</v>
      </c>
      <c r="C565" s="4" t="str">
        <f>"孟雪梅"</f>
        <v>孟雪梅</v>
      </c>
      <c r="D565" s="4" t="str">
        <f>"2021014922"</f>
        <v>2021014922</v>
      </c>
      <c r="E565" s="4" t="str">
        <f t="shared" si="84"/>
        <v>49</v>
      </c>
      <c r="F565" s="4" t="str">
        <f>"22"</f>
        <v>22</v>
      </c>
      <c r="G565" s="4" t="s">
        <v>12</v>
      </c>
      <c r="H565" s="5">
        <v>60.45</v>
      </c>
      <c r="I565" s="4"/>
      <c r="J565" s="4">
        <f>SUMPRODUCT(--((A565=$A$3:$A$2785)*$H$3:$H$2785&gt;H565))+1</f>
        <v>11</v>
      </c>
    </row>
    <row r="566" s="1" customFormat="true" customHeight="true" spans="1:10">
      <c r="A566" s="4" t="str">
        <f t="shared" si="80"/>
        <v>014</v>
      </c>
      <c r="B566" s="4" t="s">
        <v>25</v>
      </c>
      <c r="C566" s="4" t="str">
        <f>"杨霞"</f>
        <v>杨霞</v>
      </c>
      <c r="D566" s="4" t="str">
        <f>"2021014912"</f>
        <v>2021014912</v>
      </c>
      <c r="E566" s="4" t="str">
        <f t="shared" si="84"/>
        <v>49</v>
      </c>
      <c r="F566" s="4" t="str">
        <f>"12"</f>
        <v>12</v>
      </c>
      <c r="G566" s="4" t="s">
        <v>12</v>
      </c>
      <c r="H566" s="5">
        <v>59.95</v>
      </c>
      <c r="I566" s="4"/>
      <c r="J566" s="4">
        <f>SUMPRODUCT(--((A566=$A$3:$A$2785)*$H$3:$H$2785&gt;H566))+1</f>
        <v>12</v>
      </c>
    </row>
    <row r="567" s="1" customFormat="true" customHeight="true" spans="1:10">
      <c r="A567" s="4" t="str">
        <f t="shared" si="80"/>
        <v>014</v>
      </c>
      <c r="B567" s="4" t="s">
        <v>25</v>
      </c>
      <c r="C567" s="4" t="str">
        <f>"陈妍"</f>
        <v>陈妍</v>
      </c>
      <c r="D567" s="4" t="str">
        <f>"2021014809"</f>
        <v>2021014809</v>
      </c>
      <c r="E567" s="4" t="str">
        <f t="shared" si="83"/>
        <v>48</v>
      </c>
      <c r="F567" s="4" t="str">
        <f>"09"</f>
        <v>09</v>
      </c>
      <c r="G567" s="4" t="s">
        <v>12</v>
      </c>
      <c r="H567" s="5">
        <v>58.2</v>
      </c>
      <c r="I567" s="4"/>
      <c r="J567" s="4">
        <f>SUMPRODUCT(--((A567=$A$3:$A$2785)*$H$3:$H$2785&gt;H567))+1</f>
        <v>13</v>
      </c>
    </row>
    <row r="568" s="1" customFormat="true" customHeight="true" spans="1:10">
      <c r="A568" s="4" t="str">
        <f t="shared" si="80"/>
        <v>014</v>
      </c>
      <c r="B568" s="4" t="s">
        <v>25</v>
      </c>
      <c r="C568" s="4" t="str">
        <f>"刘飞阁"</f>
        <v>刘飞阁</v>
      </c>
      <c r="D568" s="4" t="str">
        <f>"2021014807"</f>
        <v>2021014807</v>
      </c>
      <c r="E568" s="4" t="str">
        <f t="shared" si="83"/>
        <v>48</v>
      </c>
      <c r="F568" s="4" t="str">
        <f>"07"</f>
        <v>07</v>
      </c>
      <c r="G568" s="4" t="s">
        <v>12</v>
      </c>
      <c r="H568" s="5">
        <v>57.75</v>
      </c>
      <c r="I568" s="4"/>
      <c r="J568" s="4">
        <f>SUMPRODUCT(--((A568=$A$3:$A$2785)*$H$3:$H$2785&gt;H568))+1</f>
        <v>14</v>
      </c>
    </row>
    <row r="569" s="1" customFormat="true" customHeight="true" spans="1:10">
      <c r="A569" s="4" t="str">
        <f t="shared" si="80"/>
        <v>014</v>
      </c>
      <c r="B569" s="4" t="s">
        <v>25</v>
      </c>
      <c r="C569" s="4" t="str">
        <f>"王靖婷"</f>
        <v>王靖婷</v>
      </c>
      <c r="D569" s="4" t="str">
        <f>"2021014827"</f>
        <v>2021014827</v>
      </c>
      <c r="E569" s="4" t="str">
        <f t="shared" si="83"/>
        <v>48</v>
      </c>
      <c r="F569" s="4" t="str">
        <f>"27"</f>
        <v>27</v>
      </c>
      <c r="G569" s="4" t="s">
        <v>12</v>
      </c>
      <c r="H569" s="5">
        <v>56.9</v>
      </c>
      <c r="I569" s="4"/>
      <c r="J569" s="4">
        <f>SUMPRODUCT(--((A569=$A$3:$A$2785)*$H$3:$H$2785&gt;H569))+1</f>
        <v>15</v>
      </c>
    </row>
    <row r="570" s="1" customFormat="true" customHeight="true" spans="1:10">
      <c r="A570" s="4" t="str">
        <f t="shared" si="80"/>
        <v>014</v>
      </c>
      <c r="B570" s="4" t="s">
        <v>25</v>
      </c>
      <c r="C570" s="4" t="str">
        <f>"廖志里"</f>
        <v>廖志里</v>
      </c>
      <c r="D570" s="4" t="str">
        <f>"2021014825"</f>
        <v>2021014825</v>
      </c>
      <c r="E570" s="4" t="str">
        <f t="shared" si="83"/>
        <v>48</v>
      </c>
      <c r="F570" s="4" t="str">
        <f>"25"</f>
        <v>25</v>
      </c>
      <c r="G570" s="4" t="s">
        <v>12</v>
      </c>
      <c r="H570" s="5">
        <v>55.85</v>
      </c>
      <c r="I570" s="4"/>
      <c r="J570" s="4">
        <f>SUMPRODUCT(--((A570=$A$3:$A$2785)*$H$3:$H$2785&gt;H570))+1</f>
        <v>16</v>
      </c>
    </row>
    <row r="571" s="1" customFormat="true" customHeight="true" spans="1:10">
      <c r="A571" s="4" t="str">
        <f t="shared" si="80"/>
        <v>014</v>
      </c>
      <c r="B571" s="4" t="s">
        <v>25</v>
      </c>
      <c r="C571" s="4" t="str">
        <f>"周红艳"</f>
        <v>周红艳</v>
      </c>
      <c r="D571" s="4" t="str">
        <f>"2021014821"</f>
        <v>2021014821</v>
      </c>
      <c r="E571" s="4" t="str">
        <f t="shared" si="83"/>
        <v>48</v>
      </c>
      <c r="F571" s="4" t="str">
        <f>"21"</f>
        <v>21</v>
      </c>
      <c r="G571" s="4" t="s">
        <v>12</v>
      </c>
      <c r="H571" s="5">
        <v>54.9</v>
      </c>
      <c r="I571" s="4"/>
      <c r="J571" s="4">
        <f>SUMPRODUCT(--((A571=$A$3:$A$2785)*$H$3:$H$2785&gt;H571))+1</f>
        <v>17</v>
      </c>
    </row>
    <row r="572" s="1" customFormat="true" customHeight="true" spans="1:10">
      <c r="A572" s="4" t="str">
        <f t="shared" si="80"/>
        <v>014</v>
      </c>
      <c r="B572" s="4" t="s">
        <v>25</v>
      </c>
      <c r="C572" s="4" t="str">
        <f>"龙美玲"</f>
        <v>龙美玲</v>
      </c>
      <c r="D572" s="4" t="str">
        <f>"2021014919"</f>
        <v>2021014919</v>
      </c>
      <c r="E572" s="4" t="str">
        <f>"49"</f>
        <v>49</v>
      </c>
      <c r="F572" s="4" t="str">
        <f>"19"</f>
        <v>19</v>
      </c>
      <c r="G572" s="4" t="s">
        <v>12</v>
      </c>
      <c r="H572" s="5">
        <v>54.9</v>
      </c>
      <c r="I572" s="4"/>
      <c r="J572" s="4">
        <f>SUMPRODUCT(--((A572=$A$3:$A$2785)*$H$3:$H$2785&gt;H572))+1</f>
        <v>17</v>
      </c>
    </row>
    <row r="573" s="1" customFormat="true" customHeight="true" spans="1:10">
      <c r="A573" s="4" t="str">
        <f t="shared" si="80"/>
        <v>014</v>
      </c>
      <c r="B573" s="4" t="s">
        <v>25</v>
      </c>
      <c r="C573" s="4" t="str">
        <f>"艾珍"</f>
        <v>艾珍</v>
      </c>
      <c r="D573" s="4" t="str">
        <f>"2021014828"</f>
        <v>2021014828</v>
      </c>
      <c r="E573" s="4" t="str">
        <f t="shared" ref="E573:E587" si="85">"48"</f>
        <v>48</v>
      </c>
      <c r="F573" s="4" t="str">
        <f>"28"</f>
        <v>28</v>
      </c>
      <c r="G573" s="4" t="s">
        <v>12</v>
      </c>
      <c r="H573" s="5">
        <v>54.6</v>
      </c>
      <c r="I573" s="4"/>
      <c r="J573" s="4">
        <f>SUMPRODUCT(--((A573=$A$3:$A$2785)*$H$3:$H$2785&gt;H573))+1</f>
        <v>19</v>
      </c>
    </row>
    <row r="574" s="1" customFormat="true" customHeight="true" spans="1:10">
      <c r="A574" s="4" t="str">
        <f t="shared" si="80"/>
        <v>014</v>
      </c>
      <c r="B574" s="4" t="s">
        <v>25</v>
      </c>
      <c r="C574" s="4" t="str">
        <f>"陈江昕"</f>
        <v>陈江昕</v>
      </c>
      <c r="D574" s="4" t="str">
        <f>"2021014811"</f>
        <v>2021014811</v>
      </c>
      <c r="E574" s="4" t="str">
        <f t="shared" si="85"/>
        <v>48</v>
      </c>
      <c r="F574" s="4" t="str">
        <f>"11"</f>
        <v>11</v>
      </c>
      <c r="G574" s="4" t="s">
        <v>12</v>
      </c>
      <c r="H574" s="5">
        <v>30.75</v>
      </c>
      <c r="I574" s="4"/>
      <c r="J574" s="4">
        <f>SUMPRODUCT(--((A574=$A$3:$A$2785)*$H$3:$H$2785&gt;H574))+1</f>
        <v>20</v>
      </c>
    </row>
    <row r="575" s="1" customFormat="true" customHeight="true" spans="1:10">
      <c r="A575" s="4" t="str">
        <f t="shared" si="80"/>
        <v>014</v>
      </c>
      <c r="B575" s="4" t="s">
        <v>25</v>
      </c>
      <c r="C575" s="4" t="str">
        <f>"易雯"</f>
        <v>易雯</v>
      </c>
      <c r="D575" s="4" t="str">
        <f>"2021014806"</f>
        <v>2021014806</v>
      </c>
      <c r="E575" s="4" t="str">
        <f t="shared" si="85"/>
        <v>48</v>
      </c>
      <c r="F575" s="4" t="str">
        <f>"06"</f>
        <v>06</v>
      </c>
      <c r="G575" s="4" t="s">
        <v>12</v>
      </c>
      <c r="H575" s="5">
        <v>0</v>
      </c>
      <c r="I575" s="6" t="s">
        <v>13</v>
      </c>
      <c r="J575" s="4">
        <f>SUMPRODUCT(--((A575=$A$3:$A$2785)*$H$3:$H$2785&gt;H575))+1</f>
        <v>21</v>
      </c>
    </row>
    <row r="576" s="1" customFormat="true" customHeight="true" spans="1:10">
      <c r="A576" s="4" t="str">
        <f t="shared" si="80"/>
        <v>014</v>
      </c>
      <c r="B576" s="4" t="s">
        <v>25</v>
      </c>
      <c r="C576" s="4" t="str">
        <f>"覃慧"</f>
        <v>覃慧</v>
      </c>
      <c r="D576" s="4" t="str">
        <f>"2021014808"</f>
        <v>2021014808</v>
      </c>
      <c r="E576" s="4" t="str">
        <f t="shared" si="85"/>
        <v>48</v>
      </c>
      <c r="F576" s="4" t="str">
        <f>"08"</f>
        <v>08</v>
      </c>
      <c r="G576" s="4" t="s">
        <v>12</v>
      </c>
      <c r="H576" s="5">
        <v>0</v>
      </c>
      <c r="I576" s="6" t="s">
        <v>13</v>
      </c>
      <c r="J576" s="4">
        <f>SUMPRODUCT(--((A576=$A$3:$A$2785)*$H$3:$H$2785&gt;H576))+1</f>
        <v>21</v>
      </c>
    </row>
    <row r="577" s="1" customFormat="true" customHeight="true" spans="1:10">
      <c r="A577" s="4" t="str">
        <f t="shared" si="80"/>
        <v>014</v>
      </c>
      <c r="B577" s="4" t="s">
        <v>25</v>
      </c>
      <c r="C577" s="4" t="str">
        <f>"唐巧鹃"</f>
        <v>唐巧鹃</v>
      </c>
      <c r="D577" s="4" t="str">
        <f>"2021014810"</f>
        <v>2021014810</v>
      </c>
      <c r="E577" s="4" t="str">
        <f t="shared" si="85"/>
        <v>48</v>
      </c>
      <c r="F577" s="4" t="str">
        <f>"10"</f>
        <v>10</v>
      </c>
      <c r="G577" s="4" t="s">
        <v>12</v>
      </c>
      <c r="H577" s="5">
        <v>0</v>
      </c>
      <c r="I577" s="6" t="s">
        <v>13</v>
      </c>
      <c r="J577" s="4">
        <f>SUMPRODUCT(--((A577=$A$3:$A$2785)*$H$3:$H$2785&gt;H577))+1</f>
        <v>21</v>
      </c>
    </row>
    <row r="578" s="1" customFormat="true" customHeight="true" spans="1:10">
      <c r="A578" s="4" t="str">
        <f t="shared" si="80"/>
        <v>014</v>
      </c>
      <c r="B578" s="4" t="s">
        <v>25</v>
      </c>
      <c r="C578" s="4" t="str">
        <f>"谢世玉"</f>
        <v>谢世玉</v>
      </c>
      <c r="D578" s="4" t="str">
        <f>"2021014812"</f>
        <v>2021014812</v>
      </c>
      <c r="E578" s="4" t="str">
        <f t="shared" si="85"/>
        <v>48</v>
      </c>
      <c r="F578" s="4" t="str">
        <f>"12"</f>
        <v>12</v>
      </c>
      <c r="G578" s="4" t="s">
        <v>12</v>
      </c>
      <c r="H578" s="5">
        <v>0</v>
      </c>
      <c r="I578" s="6" t="s">
        <v>13</v>
      </c>
      <c r="J578" s="4">
        <f>SUMPRODUCT(--((A578=$A$3:$A$2785)*$H$3:$H$2785&gt;H578))+1</f>
        <v>21</v>
      </c>
    </row>
    <row r="579" s="1" customFormat="true" customHeight="true" spans="1:10">
      <c r="A579" s="4" t="str">
        <f t="shared" si="80"/>
        <v>014</v>
      </c>
      <c r="B579" s="4" t="s">
        <v>25</v>
      </c>
      <c r="C579" s="4" t="str">
        <f>"林倩"</f>
        <v>林倩</v>
      </c>
      <c r="D579" s="4" t="str">
        <f>"2021014813"</f>
        <v>2021014813</v>
      </c>
      <c r="E579" s="4" t="str">
        <f t="shared" si="85"/>
        <v>48</v>
      </c>
      <c r="F579" s="4" t="str">
        <f>"13"</f>
        <v>13</v>
      </c>
      <c r="G579" s="4" t="s">
        <v>12</v>
      </c>
      <c r="H579" s="5">
        <v>0</v>
      </c>
      <c r="I579" s="6" t="s">
        <v>13</v>
      </c>
      <c r="J579" s="4">
        <f>SUMPRODUCT(--((A579=$A$3:$A$2785)*$H$3:$H$2785&gt;H579))+1</f>
        <v>21</v>
      </c>
    </row>
    <row r="580" s="1" customFormat="true" customHeight="true" spans="1:10">
      <c r="A580" s="4" t="str">
        <f t="shared" si="80"/>
        <v>014</v>
      </c>
      <c r="B580" s="4" t="s">
        <v>25</v>
      </c>
      <c r="C580" s="4" t="str">
        <f>"白飘飘"</f>
        <v>白飘飘</v>
      </c>
      <c r="D580" s="4" t="str">
        <f>"2021014815"</f>
        <v>2021014815</v>
      </c>
      <c r="E580" s="4" t="str">
        <f t="shared" si="85"/>
        <v>48</v>
      </c>
      <c r="F580" s="4" t="str">
        <f>"15"</f>
        <v>15</v>
      </c>
      <c r="G580" s="4" t="s">
        <v>12</v>
      </c>
      <c r="H580" s="5">
        <v>0</v>
      </c>
      <c r="I580" s="6" t="s">
        <v>13</v>
      </c>
      <c r="J580" s="4">
        <f>SUMPRODUCT(--((A580=$A$3:$A$2785)*$H$3:$H$2785&gt;H580))+1</f>
        <v>21</v>
      </c>
    </row>
    <row r="581" s="1" customFormat="true" customHeight="true" spans="1:10">
      <c r="A581" s="4" t="str">
        <f t="shared" si="80"/>
        <v>014</v>
      </c>
      <c r="B581" s="4" t="s">
        <v>25</v>
      </c>
      <c r="C581" s="4" t="str">
        <f>"张升"</f>
        <v>张升</v>
      </c>
      <c r="D581" s="4" t="str">
        <f>"2021014816"</f>
        <v>2021014816</v>
      </c>
      <c r="E581" s="4" t="str">
        <f t="shared" si="85"/>
        <v>48</v>
      </c>
      <c r="F581" s="4" t="str">
        <f>"16"</f>
        <v>16</v>
      </c>
      <c r="G581" s="4" t="s">
        <v>12</v>
      </c>
      <c r="H581" s="5">
        <v>0</v>
      </c>
      <c r="I581" s="6" t="s">
        <v>13</v>
      </c>
      <c r="J581" s="4">
        <f>SUMPRODUCT(--((A581=$A$3:$A$2785)*$H$3:$H$2785&gt;H581))+1</f>
        <v>21</v>
      </c>
    </row>
    <row r="582" s="1" customFormat="true" customHeight="true" spans="1:10">
      <c r="A582" s="4" t="str">
        <f t="shared" si="80"/>
        <v>014</v>
      </c>
      <c r="B582" s="4" t="s">
        <v>25</v>
      </c>
      <c r="C582" s="4" t="str">
        <f>"王歆瑶"</f>
        <v>王歆瑶</v>
      </c>
      <c r="D582" s="4" t="str">
        <f>"2021014818"</f>
        <v>2021014818</v>
      </c>
      <c r="E582" s="4" t="str">
        <f t="shared" si="85"/>
        <v>48</v>
      </c>
      <c r="F582" s="4" t="str">
        <f>"18"</f>
        <v>18</v>
      </c>
      <c r="G582" s="4" t="s">
        <v>12</v>
      </c>
      <c r="H582" s="5">
        <v>0</v>
      </c>
      <c r="I582" s="6" t="s">
        <v>13</v>
      </c>
      <c r="J582" s="4">
        <f>SUMPRODUCT(--((A582=$A$3:$A$2785)*$H$3:$H$2785&gt;H582))+1</f>
        <v>21</v>
      </c>
    </row>
    <row r="583" s="1" customFormat="true" customHeight="true" spans="1:10">
      <c r="A583" s="4" t="str">
        <f t="shared" si="80"/>
        <v>014</v>
      </c>
      <c r="B583" s="4" t="s">
        <v>25</v>
      </c>
      <c r="C583" s="4" t="str">
        <f>"韩秋香"</f>
        <v>韩秋香</v>
      </c>
      <c r="D583" s="4" t="str">
        <f>"2021014819"</f>
        <v>2021014819</v>
      </c>
      <c r="E583" s="4" t="str">
        <f t="shared" si="85"/>
        <v>48</v>
      </c>
      <c r="F583" s="4" t="str">
        <f>"19"</f>
        <v>19</v>
      </c>
      <c r="G583" s="4" t="s">
        <v>12</v>
      </c>
      <c r="H583" s="5">
        <v>0</v>
      </c>
      <c r="I583" s="6" t="s">
        <v>13</v>
      </c>
      <c r="J583" s="4">
        <f>SUMPRODUCT(--((A583=$A$3:$A$2785)*$H$3:$H$2785&gt;H583))+1</f>
        <v>21</v>
      </c>
    </row>
    <row r="584" s="1" customFormat="true" customHeight="true" spans="1:10">
      <c r="A584" s="4" t="str">
        <f t="shared" si="80"/>
        <v>014</v>
      </c>
      <c r="B584" s="4" t="s">
        <v>25</v>
      </c>
      <c r="C584" s="4" t="str">
        <f>"周星利"</f>
        <v>周星利</v>
      </c>
      <c r="D584" s="4" t="str">
        <f>"2021014822"</f>
        <v>2021014822</v>
      </c>
      <c r="E584" s="4" t="str">
        <f t="shared" si="85"/>
        <v>48</v>
      </c>
      <c r="F584" s="4" t="str">
        <f>"22"</f>
        <v>22</v>
      </c>
      <c r="G584" s="4" t="s">
        <v>12</v>
      </c>
      <c r="H584" s="5">
        <v>0</v>
      </c>
      <c r="I584" s="6" t="s">
        <v>13</v>
      </c>
      <c r="J584" s="4">
        <f>SUMPRODUCT(--((A584=$A$3:$A$2785)*$H$3:$H$2785&gt;H584))+1</f>
        <v>21</v>
      </c>
    </row>
    <row r="585" s="1" customFormat="true" customHeight="true" spans="1:10">
      <c r="A585" s="4" t="str">
        <f t="shared" si="80"/>
        <v>014</v>
      </c>
      <c r="B585" s="4" t="s">
        <v>25</v>
      </c>
      <c r="C585" s="4" t="str">
        <f>"王小淋"</f>
        <v>王小淋</v>
      </c>
      <c r="D585" s="4" t="str">
        <f>"2021014823"</f>
        <v>2021014823</v>
      </c>
      <c r="E585" s="4" t="str">
        <f t="shared" si="85"/>
        <v>48</v>
      </c>
      <c r="F585" s="4" t="str">
        <f>"23"</f>
        <v>23</v>
      </c>
      <c r="G585" s="4" t="s">
        <v>12</v>
      </c>
      <c r="H585" s="5">
        <v>0</v>
      </c>
      <c r="I585" s="6" t="s">
        <v>13</v>
      </c>
      <c r="J585" s="4">
        <f>SUMPRODUCT(--((A585=$A$3:$A$2785)*$H$3:$H$2785&gt;H585))+1</f>
        <v>21</v>
      </c>
    </row>
    <row r="586" s="1" customFormat="true" customHeight="true" spans="1:10">
      <c r="A586" s="4" t="str">
        <f t="shared" si="80"/>
        <v>014</v>
      </c>
      <c r="B586" s="4" t="s">
        <v>25</v>
      </c>
      <c r="C586" s="4" t="str">
        <f>"谌树岩"</f>
        <v>谌树岩</v>
      </c>
      <c r="D586" s="4" t="str">
        <f>"2021014826"</f>
        <v>2021014826</v>
      </c>
      <c r="E586" s="4" t="str">
        <f t="shared" si="85"/>
        <v>48</v>
      </c>
      <c r="F586" s="4" t="str">
        <f>"26"</f>
        <v>26</v>
      </c>
      <c r="G586" s="4" t="s">
        <v>12</v>
      </c>
      <c r="H586" s="5">
        <v>0</v>
      </c>
      <c r="I586" s="6" t="s">
        <v>13</v>
      </c>
      <c r="J586" s="4">
        <f>SUMPRODUCT(--((A586=$A$3:$A$2785)*$H$3:$H$2785&gt;H586))+1</f>
        <v>21</v>
      </c>
    </row>
    <row r="587" s="1" customFormat="true" customHeight="true" spans="1:10">
      <c r="A587" s="4" t="str">
        <f t="shared" si="80"/>
        <v>014</v>
      </c>
      <c r="B587" s="4" t="s">
        <v>25</v>
      </c>
      <c r="C587" s="4" t="str">
        <f>"杨覃辉"</f>
        <v>杨覃辉</v>
      </c>
      <c r="D587" s="4" t="str">
        <f>"2021014829"</f>
        <v>2021014829</v>
      </c>
      <c r="E587" s="4" t="str">
        <f t="shared" si="85"/>
        <v>48</v>
      </c>
      <c r="F587" s="4" t="str">
        <f>"29"</f>
        <v>29</v>
      </c>
      <c r="G587" s="4" t="s">
        <v>12</v>
      </c>
      <c r="H587" s="5">
        <v>0</v>
      </c>
      <c r="I587" s="6" t="s">
        <v>13</v>
      </c>
      <c r="J587" s="4">
        <f>SUMPRODUCT(--((A587=$A$3:$A$2785)*$H$3:$H$2785&gt;H587))+1</f>
        <v>21</v>
      </c>
    </row>
    <row r="588" s="1" customFormat="true" customHeight="true" spans="1:10">
      <c r="A588" s="4" t="str">
        <f t="shared" si="80"/>
        <v>014</v>
      </c>
      <c r="B588" s="4" t="s">
        <v>25</v>
      </c>
      <c r="C588" s="4" t="str">
        <f>"文吉林"</f>
        <v>文吉林</v>
      </c>
      <c r="D588" s="4" t="str">
        <f>"2021014901"</f>
        <v>2021014901</v>
      </c>
      <c r="E588" s="4" t="str">
        <f t="shared" ref="E588:E602" si="86">"49"</f>
        <v>49</v>
      </c>
      <c r="F588" s="4" t="str">
        <f>"01"</f>
        <v>01</v>
      </c>
      <c r="G588" s="4" t="s">
        <v>12</v>
      </c>
      <c r="H588" s="5">
        <v>0</v>
      </c>
      <c r="I588" s="6" t="s">
        <v>13</v>
      </c>
      <c r="J588" s="4">
        <f>SUMPRODUCT(--((A588=$A$3:$A$2785)*$H$3:$H$2785&gt;H588))+1</f>
        <v>21</v>
      </c>
    </row>
    <row r="589" s="1" customFormat="true" customHeight="true" spans="1:10">
      <c r="A589" s="4" t="str">
        <f t="shared" si="80"/>
        <v>014</v>
      </c>
      <c r="B589" s="4" t="s">
        <v>25</v>
      </c>
      <c r="C589" s="4" t="str">
        <f>"包政"</f>
        <v>包政</v>
      </c>
      <c r="D589" s="4" t="str">
        <f>"2021014902"</f>
        <v>2021014902</v>
      </c>
      <c r="E589" s="4" t="str">
        <f t="shared" si="86"/>
        <v>49</v>
      </c>
      <c r="F589" s="4" t="str">
        <f>"02"</f>
        <v>02</v>
      </c>
      <c r="G589" s="4" t="s">
        <v>12</v>
      </c>
      <c r="H589" s="5">
        <v>0</v>
      </c>
      <c r="I589" s="6" t="s">
        <v>13</v>
      </c>
      <c r="J589" s="4">
        <f>SUMPRODUCT(--((A589=$A$3:$A$2785)*$H$3:$H$2785&gt;H589))+1</f>
        <v>21</v>
      </c>
    </row>
    <row r="590" s="1" customFormat="true" customHeight="true" spans="1:10">
      <c r="A590" s="4" t="str">
        <f t="shared" si="80"/>
        <v>014</v>
      </c>
      <c r="B590" s="4" t="s">
        <v>25</v>
      </c>
      <c r="C590" s="4" t="str">
        <f>"石远蓉"</f>
        <v>石远蓉</v>
      </c>
      <c r="D590" s="4" t="str">
        <f>"2021014903"</f>
        <v>2021014903</v>
      </c>
      <c r="E590" s="4" t="str">
        <f t="shared" si="86"/>
        <v>49</v>
      </c>
      <c r="F590" s="4" t="str">
        <f>"03"</f>
        <v>03</v>
      </c>
      <c r="G590" s="4" t="s">
        <v>12</v>
      </c>
      <c r="H590" s="5">
        <v>0</v>
      </c>
      <c r="I590" s="6" t="s">
        <v>13</v>
      </c>
      <c r="J590" s="4">
        <f>SUMPRODUCT(--((A590=$A$3:$A$2785)*$H$3:$H$2785&gt;H590))+1</f>
        <v>21</v>
      </c>
    </row>
    <row r="591" s="1" customFormat="true" customHeight="true" spans="1:10">
      <c r="A591" s="4" t="str">
        <f t="shared" si="80"/>
        <v>014</v>
      </c>
      <c r="B591" s="4" t="s">
        <v>25</v>
      </c>
      <c r="C591" s="4" t="str">
        <f>"石献"</f>
        <v>石献</v>
      </c>
      <c r="D591" s="4" t="str">
        <f>"2021014904"</f>
        <v>2021014904</v>
      </c>
      <c r="E591" s="4" t="str">
        <f t="shared" si="86"/>
        <v>49</v>
      </c>
      <c r="F591" s="4" t="str">
        <f>"04"</f>
        <v>04</v>
      </c>
      <c r="G591" s="4" t="s">
        <v>12</v>
      </c>
      <c r="H591" s="5">
        <v>0</v>
      </c>
      <c r="I591" s="6" t="s">
        <v>13</v>
      </c>
      <c r="J591" s="4">
        <f>SUMPRODUCT(--((A591=$A$3:$A$2785)*$H$3:$H$2785&gt;H591))+1</f>
        <v>21</v>
      </c>
    </row>
    <row r="592" s="1" customFormat="true" customHeight="true" spans="1:10">
      <c r="A592" s="4" t="str">
        <f t="shared" si="80"/>
        <v>014</v>
      </c>
      <c r="B592" s="4" t="s">
        <v>25</v>
      </c>
      <c r="C592" s="4" t="str">
        <f>"莫姚婷"</f>
        <v>莫姚婷</v>
      </c>
      <c r="D592" s="4" t="str">
        <f>"2021014907"</f>
        <v>2021014907</v>
      </c>
      <c r="E592" s="4" t="str">
        <f t="shared" si="86"/>
        <v>49</v>
      </c>
      <c r="F592" s="4" t="str">
        <f>"07"</f>
        <v>07</v>
      </c>
      <c r="G592" s="4" t="s">
        <v>12</v>
      </c>
      <c r="H592" s="5">
        <v>0</v>
      </c>
      <c r="I592" s="6" t="s">
        <v>13</v>
      </c>
      <c r="J592" s="4">
        <f>SUMPRODUCT(--((A592=$A$3:$A$2785)*$H$3:$H$2785&gt;H592))+1</f>
        <v>21</v>
      </c>
    </row>
    <row r="593" s="1" customFormat="true" customHeight="true" spans="1:10">
      <c r="A593" s="4" t="str">
        <f t="shared" si="80"/>
        <v>014</v>
      </c>
      <c r="B593" s="4" t="s">
        <v>25</v>
      </c>
      <c r="C593" s="4" t="str">
        <f>"李莉"</f>
        <v>李莉</v>
      </c>
      <c r="D593" s="4" t="str">
        <f>"2021014908"</f>
        <v>2021014908</v>
      </c>
      <c r="E593" s="4" t="str">
        <f t="shared" si="86"/>
        <v>49</v>
      </c>
      <c r="F593" s="4" t="str">
        <f>"08"</f>
        <v>08</v>
      </c>
      <c r="G593" s="4" t="s">
        <v>12</v>
      </c>
      <c r="H593" s="5">
        <v>0</v>
      </c>
      <c r="I593" s="6" t="s">
        <v>13</v>
      </c>
      <c r="J593" s="4">
        <f>SUMPRODUCT(--((A593=$A$3:$A$2785)*$H$3:$H$2785&gt;H593))+1</f>
        <v>21</v>
      </c>
    </row>
    <row r="594" s="1" customFormat="true" customHeight="true" spans="1:10">
      <c r="A594" s="4" t="str">
        <f t="shared" si="80"/>
        <v>014</v>
      </c>
      <c r="B594" s="4" t="s">
        <v>25</v>
      </c>
      <c r="C594" s="4" t="str">
        <f>"卢斌"</f>
        <v>卢斌</v>
      </c>
      <c r="D594" s="4" t="str">
        <f>"2021014910"</f>
        <v>2021014910</v>
      </c>
      <c r="E594" s="4" t="str">
        <f t="shared" si="86"/>
        <v>49</v>
      </c>
      <c r="F594" s="4" t="str">
        <f>"10"</f>
        <v>10</v>
      </c>
      <c r="G594" s="4" t="s">
        <v>12</v>
      </c>
      <c r="H594" s="5">
        <v>0</v>
      </c>
      <c r="I594" s="6" t="s">
        <v>13</v>
      </c>
      <c r="J594" s="4">
        <f>SUMPRODUCT(--((A594=$A$3:$A$2785)*$H$3:$H$2785&gt;H594))+1</f>
        <v>21</v>
      </c>
    </row>
    <row r="595" s="1" customFormat="true" customHeight="true" spans="1:10">
      <c r="A595" s="4" t="str">
        <f t="shared" si="80"/>
        <v>014</v>
      </c>
      <c r="B595" s="4" t="s">
        <v>25</v>
      </c>
      <c r="C595" s="4" t="str">
        <f>"严易淋"</f>
        <v>严易淋</v>
      </c>
      <c r="D595" s="4" t="str">
        <f>"2021014911"</f>
        <v>2021014911</v>
      </c>
      <c r="E595" s="4" t="str">
        <f t="shared" si="86"/>
        <v>49</v>
      </c>
      <c r="F595" s="4" t="str">
        <f>"11"</f>
        <v>11</v>
      </c>
      <c r="G595" s="4" t="s">
        <v>12</v>
      </c>
      <c r="H595" s="5">
        <v>0</v>
      </c>
      <c r="I595" s="6" t="s">
        <v>13</v>
      </c>
      <c r="J595" s="4">
        <f>SUMPRODUCT(--((A595=$A$3:$A$2785)*$H$3:$H$2785&gt;H595))+1</f>
        <v>21</v>
      </c>
    </row>
    <row r="596" s="1" customFormat="true" customHeight="true" spans="1:10">
      <c r="A596" s="4" t="str">
        <f t="shared" si="80"/>
        <v>014</v>
      </c>
      <c r="B596" s="4" t="s">
        <v>25</v>
      </c>
      <c r="C596" s="4" t="str">
        <f>"彭甜甜"</f>
        <v>彭甜甜</v>
      </c>
      <c r="D596" s="4" t="str">
        <f>"2021014913"</f>
        <v>2021014913</v>
      </c>
      <c r="E596" s="4" t="str">
        <f t="shared" si="86"/>
        <v>49</v>
      </c>
      <c r="F596" s="4" t="str">
        <f>"13"</f>
        <v>13</v>
      </c>
      <c r="G596" s="4" t="s">
        <v>12</v>
      </c>
      <c r="H596" s="5">
        <v>0</v>
      </c>
      <c r="I596" s="6" t="s">
        <v>13</v>
      </c>
      <c r="J596" s="4">
        <f>SUMPRODUCT(--((A596=$A$3:$A$2785)*$H$3:$H$2785&gt;H596))+1</f>
        <v>21</v>
      </c>
    </row>
    <row r="597" s="1" customFormat="true" customHeight="true" spans="1:10">
      <c r="A597" s="4" t="str">
        <f t="shared" si="80"/>
        <v>014</v>
      </c>
      <c r="B597" s="4" t="s">
        <v>25</v>
      </c>
      <c r="C597" s="4" t="str">
        <f>"谭玲"</f>
        <v>谭玲</v>
      </c>
      <c r="D597" s="4" t="str">
        <f>"2021014915"</f>
        <v>2021014915</v>
      </c>
      <c r="E597" s="4" t="str">
        <f t="shared" si="86"/>
        <v>49</v>
      </c>
      <c r="F597" s="4" t="str">
        <f>"15"</f>
        <v>15</v>
      </c>
      <c r="G597" s="4" t="s">
        <v>12</v>
      </c>
      <c r="H597" s="5">
        <v>0</v>
      </c>
      <c r="I597" s="6" t="s">
        <v>13</v>
      </c>
      <c r="J597" s="4">
        <f>SUMPRODUCT(--((A597=$A$3:$A$2785)*$H$3:$H$2785&gt;H597))+1</f>
        <v>21</v>
      </c>
    </row>
    <row r="598" s="1" customFormat="true" customHeight="true" spans="1:10">
      <c r="A598" s="4" t="str">
        <f t="shared" si="80"/>
        <v>014</v>
      </c>
      <c r="B598" s="4" t="s">
        <v>25</v>
      </c>
      <c r="C598" s="4" t="str">
        <f>"胡娟"</f>
        <v>胡娟</v>
      </c>
      <c r="D598" s="4" t="str">
        <f>"2021014916"</f>
        <v>2021014916</v>
      </c>
      <c r="E598" s="4" t="str">
        <f t="shared" si="86"/>
        <v>49</v>
      </c>
      <c r="F598" s="4" t="str">
        <f>"16"</f>
        <v>16</v>
      </c>
      <c r="G598" s="4" t="s">
        <v>12</v>
      </c>
      <c r="H598" s="5">
        <v>0</v>
      </c>
      <c r="I598" s="6" t="s">
        <v>13</v>
      </c>
      <c r="J598" s="4">
        <f>SUMPRODUCT(--((A598=$A$3:$A$2785)*$H$3:$H$2785&gt;H598))+1</f>
        <v>21</v>
      </c>
    </row>
    <row r="599" s="1" customFormat="true" customHeight="true" spans="1:10">
      <c r="A599" s="4" t="str">
        <f t="shared" si="80"/>
        <v>014</v>
      </c>
      <c r="B599" s="4" t="s">
        <v>25</v>
      </c>
      <c r="C599" s="4" t="str">
        <f>"李梦颖"</f>
        <v>李梦颖</v>
      </c>
      <c r="D599" s="4" t="str">
        <f>"2021014917"</f>
        <v>2021014917</v>
      </c>
      <c r="E599" s="4" t="str">
        <f t="shared" si="86"/>
        <v>49</v>
      </c>
      <c r="F599" s="4" t="str">
        <f>"17"</f>
        <v>17</v>
      </c>
      <c r="G599" s="4" t="s">
        <v>12</v>
      </c>
      <c r="H599" s="5">
        <v>0</v>
      </c>
      <c r="I599" s="6" t="s">
        <v>13</v>
      </c>
      <c r="J599" s="4">
        <f>SUMPRODUCT(--((A599=$A$3:$A$2785)*$H$3:$H$2785&gt;H599))+1</f>
        <v>21</v>
      </c>
    </row>
    <row r="600" s="1" customFormat="true" customHeight="true" spans="1:10">
      <c r="A600" s="4" t="str">
        <f t="shared" si="80"/>
        <v>014</v>
      </c>
      <c r="B600" s="4" t="s">
        <v>25</v>
      </c>
      <c r="C600" s="4" t="str">
        <f>"张艺勤"</f>
        <v>张艺勤</v>
      </c>
      <c r="D600" s="4" t="str">
        <f>"2021014918"</f>
        <v>2021014918</v>
      </c>
      <c r="E600" s="4" t="str">
        <f t="shared" si="86"/>
        <v>49</v>
      </c>
      <c r="F600" s="4" t="str">
        <f>"18"</f>
        <v>18</v>
      </c>
      <c r="G600" s="4" t="s">
        <v>12</v>
      </c>
      <c r="H600" s="5">
        <v>0</v>
      </c>
      <c r="I600" s="6" t="s">
        <v>13</v>
      </c>
      <c r="J600" s="4">
        <f>SUMPRODUCT(--((A600=$A$3:$A$2785)*$H$3:$H$2785&gt;H600))+1</f>
        <v>21</v>
      </c>
    </row>
    <row r="601" s="1" customFormat="true" customHeight="true" spans="1:10">
      <c r="A601" s="4" t="str">
        <f t="shared" si="80"/>
        <v>014</v>
      </c>
      <c r="B601" s="4" t="s">
        <v>25</v>
      </c>
      <c r="C601" s="4" t="str">
        <f>"刘智超"</f>
        <v>刘智超</v>
      </c>
      <c r="D601" s="4" t="str">
        <f>"2021014920"</f>
        <v>2021014920</v>
      </c>
      <c r="E601" s="4" t="str">
        <f t="shared" si="86"/>
        <v>49</v>
      </c>
      <c r="F601" s="4" t="str">
        <f>"20"</f>
        <v>20</v>
      </c>
      <c r="G601" s="4" t="s">
        <v>12</v>
      </c>
      <c r="H601" s="5">
        <v>0</v>
      </c>
      <c r="I601" s="6" t="s">
        <v>13</v>
      </c>
      <c r="J601" s="4">
        <f>SUMPRODUCT(--((A601=$A$3:$A$2785)*$H$3:$H$2785&gt;H601))+1</f>
        <v>21</v>
      </c>
    </row>
    <row r="602" s="1" customFormat="true" customHeight="true" spans="1:10">
      <c r="A602" s="4" t="str">
        <f t="shared" si="80"/>
        <v>014</v>
      </c>
      <c r="B602" s="4" t="s">
        <v>25</v>
      </c>
      <c r="C602" s="4" t="str">
        <f>"罗诗佳"</f>
        <v>罗诗佳</v>
      </c>
      <c r="D602" s="4" t="str">
        <f>"2021014921"</f>
        <v>2021014921</v>
      </c>
      <c r="E602" s="4" t="str">
        <f t="shared" si="86"/>
        <v>49</v>
      </c>
      <c r="F602" s="4" t="str">
        <f>"21"</f>
        <v>21</v>
      </c>
      <c r="G602" s="4" t="s">
        <v>12</v>
      </c>
      <c r="H602" s="5">
        <v>0</v>
      </c>
      <c r="I602" s="6" t="s">
        <v>13</v>
      </c>
      <c r="J602" s="4">
        <f>SUMPRODUCT(--((A602=$A$3:$A$2785)*$H$3:$H$2785&gt;H602))+1</f>
        <v>21</v>
      </c>
    </row>
    <row r="603" s="1" customFormat="true" customHeight="true" spans="1:10">
      <c r="A603" s="4" t="str">
        <f t="shared" ref="A603:A666" si="87">"015"</f>
        <v>015</v>
      </c>
      <c r="B603" s="4" t="s">
        <v>26</v>
      </c>
      <c r="C603" s="4" t="str">
        <f>"谢鑫"</f>
        <v>谢鑫</v>
      </c>
      <c r="D603" s="4" t="str">
        <f>"2021020125"</f>
        <v>2021020125</v>
      </c>
      <c r="E603" s="4" t="str">
        <f t="shared" ref="E603:E608" si="88">"01"</f>
        <v>01</v>
      </c>
      <c r="F603" s="4" t="str">
        <f>"25"</f>
        <v>25</v>
      </c>
      <c r="G603" s="4" t="s">
        <v>27</v>
      </c>
      <c r="H603" s="5">
        <v>78.35</v>
      </c>
      <c r="I603" s="4"/>
      <c r="J603" s="4">
        <f>SUMPRODUCT(--((A603=$A$3:$A$2785)*$H$3:$H$2785&gt;H603))+1</f>
        <v>1</v>
      </c>
    </row>
    <row r="604" s="1" customFormat="true" customHeight="true" spans="1:10">
      <c r="A604" s="4" t="str">
        <f t="shared" si="87"/>
        <v>015</v>
      </c>
      <c r="B604" s="4" t="s">
        <v>26</v>
      </c>
      <c r="C604" s="4" t="str">
        <f>"谢侠"</f>
        <v>谢侠</v>
      </c>
      <c r="D604" s="4" t="str">
        <f>"2021020217"</f>
        <v>2021020217</v>
      </c>
      <c r="E604" s="4" t="str">
        <f>"02"</f>
        <v>02</v>
      </c>
      <c r="F604" s="4" t="str">
        <f>"17"</f>
        <v>17</v>
      </c>
      <c r="G604" s="4" t="s">
        <v>27</v>
      </c>
      <c r="H604" s="5">
        <v>78.35</v>
      </c>
      <c r="I604" s="4"/>
      <c r="J604" s="4">
        <f>SUMPRODUCT(--((A604=$A$3:$A$2785)*$H$3:$H$2785&gt;H604))+1</f>
        <v>1</v>
      </c>
    </row>
    <row r="605" s="1" customFormat="true" customHeight="true" spans="1:10">
      <c r="A605" s="4" t="str">
        <f t="shared" si="87"/>
        <v>015</v>
      </c>
      <c r="B605" s="4" t="s">
        <v>26</v>
      </c>
      <c r="C605" s="4" t="str">
        <f>"吴珮溱"</f>
        <v>吴珮溱</v>
      </c>
      <c r="D605" s="4" t="str">
        <f>"2021020120"</f>
        <v>2021020120</v>
      </c>
      <c r="E605" s="4" t="str">
        <f t="shared" si="88"/>
        <v>01</v>
      </c>
      <c r="F605" s="4" t="str">
        <f>"20"</f>
        <v>20</v>
      </c>
      <c r="G605" s="4" t="s">
        <v>27</v>
      </c>
      <c r="H605" s="5">
        <v>77.2</v>
      </c>
      <c r="I605" s="4"/>
      <c r="J605" s="4">
        <f>SUMPRODUCT(--((A605=$A$3:$A$2785)*$H$3:$H$2785&gt;H605))+1</f>
        <v>3</v>
      </c>
    </row>
    <row r="606" s="1" customFormat="true" customHeight="true" spans="1:10">
      <c r="A606" s="4" t="str">
        <f t="shared" si="87"/>
        <v>015</v>
      </c>
      <c r="B606" s="4" t="s">
        <v>26</v>
      </c>
      <c r="C606" s="4" t="str">
        <f>"周倩莹"</f>
        <v>周倩莹</v>
      </c>
      <c r="D606" s="4" t="str">
        <f>"2021020221"</f>
        <v>2021020221</v>
      </c>
      <c r="E606" s="4" t="str">
        <f>"02"</f>
        <v>02</v>
      </c>
      <c r="F606" s="4" t="str">
        <f>"21"</f>
        <v>21</v>
      </c>
      <c r="G606" s="4" t="s">
        <v>27</v>
      </c>
      <c r="H606" s="5">
        <v>77.15</v>
      </c>
      <c r="I606" s="4"/>
      <c r="J606" s="4">
        <f>SUMPRODUCT(--((A606=$A$3:$A$2785)*$H$3:$H$2785&gt;H606))+1</f>
        <v>4</v>
      </c>
    </row>
    <row r="607" s="1" customFormat="true" customHeight="true" spans="1:10">
      <c r="A607" s="4" t="str">
        <f t="shared" si="87"/>
        <v>015</v>
      </c>
      <c r="B607" s="4" t="s">
        <v>26</v>
      </c>
      <c r="C607" s="4" t="str">
        <f>"杨玺"</f>
        <v>杨玺</v>
      </c>
      <c r="D607" s="4" t="str">
        <f>"2021020505"</f>
        <v>2021020505</v>
      </c>
      <c r="E607" s="4" t="str">
        <f>"05"</f>
        <v>05</v>
      </c>
      <c r="F607" s="4" t="str">
        <f>"05"</f>
        <v>05</v>
      </c>
      <c r="G607" s="4" t="s">
        <v>27</v>
      </c>
      <c r="H607" s="5">
        <v>73.8</v>
      </c>
      <c r="I607" s="4"/>
      <c r="J607" s="4">
        <f>SUMPRODUCT(--((A607=$A$3:$A$2785)*$H$3:$H$2785&gt;H607))+1</f>
        <v>5</v>
      </c>
    </row>
    <row r="608" s="1" customFormat="true" customHeight="true" spans="1:10">
      <c r="A608" s="4" t="str">
        <f t="shared" si="87"/>
        <v>015</v>
      </c>
      <c r="B608" s="4" t="s">
        <v>26</v>
      </c>
      <c r="C608" s="4" t="str">
        <f>"邓煜婕"</f>
        <v>邓煜婕</v>
      </c>
      <c r="D608" s="4" t="str">
        <f>"2021020117"</f>
        <v>2021020117</v>
      </c>
      <c r="E608" s="4" t="str">
        <f t="shared" si="88"/>
        <v>01</v>
      </c>
      <c r="F608" s="4" t="str">
        <f>"17"</f>
        <v>17</v>
      </c>
      <c r="G608" s="4" t="s">
        <v>27</v>
      </c>
      <c r="H608" s="5">
        <v>73.3</v>
      </c>
      <c r="I608" s="4"/>
      <c r="J608" s="4">
        <f>SUMPRODUCT(--((A608=$A$3:$A$2785)*$H$3:$H$2785&gt;H608))+1</f>
        <v>6</v>
      </c>
    </row>
    <row r="609" s="1" customFormat="true" customHeight="true" spans="1:10">
      <c r="A609" s="4" t="str">
        <f t="shared" si="87"/>
        <v>015</v>
      </c>
      <c r="B609" s="4" t="s">
        <v>26</v>
      </c>
      <c r="C609" s="4" t="str">
        <f>"邓小璇"</f>
        <v>邓小璇</v>
      </c>
      <c r="D609" s="4" t="str">
        <f>"2021020314"</f>
        <v>2021020314</v>
      </c>
      <c r="E609" s="4" t="str">
        <f t="shared" ref="E609:E614" si="89">"03"</f>
        <v>03</v>
      </c>
      <c r="F609" s="4" t="str">
        <f>"14"</f>
        <v>14</v>
      </c>
      <c r="G609" s="4" t="s">
        <v>27</v>
      </c>
      <c r="H609" s="5">
        <v>73.25</v>
      </c>
      <c r="I609" s="4"/>
      <c r="J609" s="4">
        <f>SUMPRODUCT(--((A609=$A$3:$A$2785)*$H$3:$H$2785&gt;H609))+1</f>
        <v>7</v>
      </c>
    </row>
    <row r="610" s="1" customFormat="true" customHeight="true" spans="1:10">
      <c r="A610" s="4" t="str">
        <f t="shared" si="87"/>
        <v>015</v>
      </c>
      <c r="B610" s="4" t="s">
        <v>26</v>
      </c>
      <c r="C610" s="4" t="str">
        <f>"黄洁琼"</f>
        <v>黄洁琼</v>
      </c>
      <c r="D610" s="4" t="str">
        <f>"2021020313"</f>
        <v>2021020313</v>
      </c>
      <c r="E610" s="4" t="str">
        <f t="shared" si="89"/>
        <v>03</v>
      </c>
      <c r="F610" s="4" t="str">
        <f>"13"</f>
        <v>13</v>
      </c>
      <c r="G610" s="4" t="s">
        <v>27</v>
      </c>
      <c r="H610" s="5">
        <v>73.2</v>
      </c>
      <c r="I610" s="4"/>
      <c r="J610" s="4">
        <f>SUMPRODUCT(--((A610=$A$3:$A$2785)*$H$3:$H$2785&gt;H610))+1</f>
        <v>8</v>
      </c>
    </row>
    <row r="611" s="1" customFormat="true" customHeight="true" spans="1:10">
      <c r="A611" s="4" t="str">
        <f t="shared" si="87"/>
        <v>015</v>
      </c>
      <c r="B611" s="4" t="s">
        <v>26</v>
      </c>
      <c r="C611" s="4" t="str">
        <f>"周璇"</f>
        <v>周璇</v>
      </c>
      <c r="D611" s="4" t="str">
        <f>"2021020424"</f>
        <v>2021020424</v>
      </c>
      <c r="E611" s="4" t="str">
        <f t="shared" ref="E611:E616" si="90">"04"</f>
        <v>04</v>
      </c>
      <c r="F611" s="4" t="str">
        <f>"24"</f>
        <v>24</v>
      </c>
      <c r="G611" s="4" t="s">
        <v>27</v>
      </c>
      <c r="H611" s="5">
        <v>73</v>
      </c>
      <c r="I611" s="4"/>
      <c r="J611" s="4">
        <f>SUMPRODUCT(--((A611=$A$3:$A$2785)*$H$3:$H$2785&gt;H611))+1</f>
        <v>9</v>
      </c>
    </row>
    <row r="612" s="1" customFormat="true" customHeight="true" spans="1:10">
      <c r="A612" s="4" t="str">
        <f t="shared" si="87"/>
        <v>015</v>
      </c>
      <c r="B612" s="4" t="s">
        <v>26</v>
      </c>
      <c r="C612" s="4" t="str">
        <f>"杨莎"</f>
        <v>杨莎</v>
      </c>
      <c r="D612" s="4" t="str">
        <f>"2021020201"</f>
        <v>2021020201</v>
      </c>
      <c r="E612" s="4" t="str">
        <f>"02"</f>
        <v>02</v>
      </c>
      <c r="F612" s="4" t="str">
        <f>"01"</f>
        <v>01</v>
      </c>
      <c r="G612" s="4" t="s">
        <v>27</v>
      </c>
      <c r="H612" s="5">
        <v>72.95</v>
      </c>
      <c r="I612" s="4"/>
      <c r="J612" s="4">
        <f>SUMPRODUCT(--((A612=$A$3:$A$2785)*$H$3:$H$2785&gt;H612))+1</f>
        <v>10</v>
      </c>
    </row>
    <row r="613" s="1" customFormat="true" customHeight="true" spans="1:10">
      <c r="A613" s="4" t="str">
        <f t="shared" si="87"/>
        <v>015</v>
      </c>
      <c r="B613" s="4" t="s">
        <v>26</v>
      </c>
      <c r="C613" s="4" t="str">
        <f>"刘小娜"</f>
        <v>刘小娜</v>
      </c>
      <c r="D613" s="4" t="str">
        <f>"2021020426"</f>
        <v>2021020426</v>
      </c>
      <c r="E613" s="4" t="str">
        <f t="shared" si="90"/>
        <v>04</v>
      </c>
      <c r="F613" s="4" t="str">
        <f>"26"</f>
        <v>26</v>
      </c>
      <c r="G613" s="4" t="s">
        <v>27</v>
      </c>
      <c r="H613" s="5">
        <v>72.7</v>
      </c>
      <c r="I613" s="4"/>
      <c r="J613" s="4">
        <f>SUMPRODUCT(--((A613=$A$3:$A$2785)*$H$3:$H$2785&gt;H613))+1</f>
        <v>11</v>
      </c>
    </row>
    <row r="614" s="1" customFormat="true" customHeight="true" spans="1:10">
      <c r="A614" s="4" t="str">
        <f t="shared" si="87"/>
        <v>015</v>
      </c>
      <c r="B614" s="4" t="s">
        <v>26</v>
      </c>
      <c r="C614" s="4" t="str">
        <f>"蒲生梅"</f>
        <v>蒲生梅</v>
      </c>
      <c r="D614" s="4" t="str">
        <f>"2021020330"</f>
        <v>2021020330</v>
      </c>
      <c r="E614" s="4" t="str">
        <f t="shared" si="89"/>
        <v>03</v>
      </c>
      <c r="F614" s="4" t="str">
        <f>"30"</f>
        <v>30</v>
      </c>
      <c r="G614" s="4" t="s">
        <v>27</v>
      </c>
      <c r="H614" s="5">
        <v>72.15</v>
      </c>
      <c r="I614" s="4"/>
      <c r="J614" s="4">
        <f>SUMPRODUCT(--((A614=$A$3:$A$2785)*$H$3:$H$2785&gt;H614))+1</f>
        <v>12</v>
      </c>
    </row>
    <row r="615" s="1" customFormat="true" customHeight="true" spans="1:10">
      <c r="A615" s="4" t="str">
        <f t="shared" si="87"/>
        <v>015</v>
      </c>
      <c r="B615" s="4" t="s">
        <v>26</v>
      </c>
      <c r="C615" s="4" t="str">
        <f>"张瑜"</f>
        <v>张瑜</v>
      </c>
      <c r="D615" s="4" t="str">
        <f>"2021020416"</f>
        <v>2021020416</v>
      </c>
      <c r="E615" s="4" t="str">
        <f t="shared" si="90"/>
        <v>04</v>
      </c>
      <c r="F615" s="4" t="str">
        <f>"16"</f>
        <v>16</v>
      </c>
      <c r="G615" s="4" t="s">
        <v>27</v>
      </c>
      <c r="H615" s="5">
        <v>71.6</v>
      </c>
      <c r="I615" s="4"/>
      <c r="J615" s="4">
        <f>SUMPRODUCT(--((A615=$A$3:$A$2785)*$H$3:$H$2785&gt;H615))+1</f>
        <v>13</v>
      </c>
    </row>
    <row r="616" s="1" customFormat="true" customHeight="true" spans="1:10">
      <c r="A616" s="4" t="str">
        <f t="shared" si="87"/>
        <v>015</v>
      </c>
      <c r="B616" s="4" t="s">
        <v>26</v>
      </c>
      <c r="C616" s="4" t="str">
        <f>"李智君"</f>
        <v>李智君</v>
      </c>
      <c r="D616" s="4" t="str">
        <f>"2021020421"</f>
        <v>2021020421</v>
      </c>
      <c r="E616" s="4" t="str">
        <f t="shared" si="90"/>
        <v>04</v>
      </c>
      <c r="F616" s="4" t="str">
        <f>"21"</f>
        <v>21</v>
      </c>
      <c r="G616" s="4" t="s">
        <v>27</v>
      </c>
      <c r="H616" s="5">
        <v>71.3</v>
      </c>
      <c r="I616" s="4"/>
      <c r="J616" s="4">
        <f>SUMPRODUCT(--((A616=$A$3:$A$2785)*$H$3:$H$2785&gt;H616))+1</f>
        <v>14</v>
      </c>
    </row>
    <row r="617" s="1" customFormat="true" customHeight="true" spans="1:10">
      <c r="A617" s="4" t="str">
        <f t="shared" si="87"/>
        <v>015</v>
      </c>
      <c r="B617" s="4" t="s">
        <v>26</v>
      </c>
      <c r="C617" s="4" t="str">
        <f>"吴琴琴"</f>
        <v>吴琴琴</v>
      </c>
      <c r="D617" s="4" t="str">
        <f>"2021020307"</f>
        <v>2021020307</v>
      </c>
      <c r="E617" s="4" t="str">
        <f>"03"</f>
        <v>03</v>
      </c>
      <c r="F617" s="4" t="str">
        <f>"07"</f>
        <v>07</v>
      </c>
      <c r="G617" s="4" t="s">
        <v>27</v>
      </c>
      <c r="H617" s="5">
        <v>70.95</v>
      </c>
      <c r="I617" s="4"/>
      <c r="J617" s="4">
        <f>SUMPRODUCT(--((A617=$A$3:$A$2785)*$H$3:$H$2785&gt;H617))+1</f>
        <v>15</v>
      </c>
    </row>
    <row r="618" s="1" customFormat="true" customHeight="true" spans="1:10">
      <c r="A618" s="4" t="str">
        <f t="shared" si="87"/>
        <v>015</v>
      </c>
      <c r="B618" s="4" t="s">
        <v>26</v>
      </c>
      <c r="C618" s="4" t="str">
        <f>"张莉"</f>
        <v>张莉</v>
      </c>
      <c r="D618" s="4" t="str">
        <f>"2021020214"</f>
        <v>2021020214</v>
      </c>
      <c r="E618" s="4" t="str">
        <f t="shared" ref="E618:E623" si="91">"02"</f>
        <v>02</v>
      </c>
      <c r="F618" s="4" t="str">
        <f>"14"</f>
        <v>14</v>
      </c>
      <c r="G618" s="4" t="s">
        <v>27</v>
      </c>
      <c r="H618" s="5">
        <v>70.5</v>
      </c>
      <c r="I618" s="4"/>
      <c r="J618" s="4">
        <f>SUMPRODUCT(--((A618=$A$3:$A$2785)*$H$3:$H$2785&gt;H618))+1</f>
        <v>16</v>
      </c>
    </row>
    <row r="619" s="1" customFormat="true" customHeight="true" spans="1:10">
      <c r="A619" s="4" t="str">
        <f t="shared" si="87"/>
        <v>015</v>
      </c>
      <c r="B619" s="4" t="s">
        <v>26</v>
      </c>
      <c r="C619" s="4" t="str">
        <f>"王佳丽"</f>
        <v>王佳丽</v>
      </c>
      <c r="D619" s="4" t="str">
        <f>"2021020402"</f>
        <v>2021020402</v>
      </c>
      <c r="E619" s="4" t="str">
        <f>"04"</f>
        <v>04</v>
      </c>
      <c r="F619" s="4" t="str">
        <f>"02"</f>
        <v>02</v>
      </c>
      <c r="G619" s="4" t="s">
        <v>27</v>
      </c>
      <c r="H619" s="5">
        <v>69.85</v>
      </c>
      <c r="I619" s="4"/>
      <c r="J619" s="4">
        <f>SUMPRODUCT(--((A619=$A$3:$A$2785)*$H$3:$H$2785&gt;H619))+1</f>
        <v>17</v>
      </c>
    </row>
    <row r="620" s="1" customFormat="true" customHeight="true" spans="1:10">
      <c r="A620" s="4" t="str">
        <f t="shared" si="87"/>
        <v>015</v>
      </c>
      <c r="B620" s="4" t="s">
        <v>26</v>
      </c>
      <c r="C620" s="4" t="str">
        <f>"陈璐"</f>
        <v>陈璐</v>
      </c>
      <c r="D620" s="4" t="str">
        <f>"2021020219"</f>
        <v>2021020219</v>
      </c>
      <c r="E620" s="4" t="str">
        <f t="shared" si="91"/>
        <v>02</v>
      </c>
      <c r="F620" s="4" t="str">
        <f>"19"</f>
        <v>19</v>
      </c>
      <c r="G620" s="4" t="s">
        <v>27</v>
      </c>
      <c r="H620" s="5">
        <v>69.65</v>
      </c>
      <c r="I620" s="4"/>
      <c r="J620" s="4">
        <f>SUMPRODUCT(--((A620=$A$3:$A$2785)*$H$3:$H$2785&gt;H620))+1</f>
        <v>18</v>
      </c>
    </row>
    <row r="621" s="1" customFormat="true" customHeight="true" spans="1:10">
      <c r="A621" s="4" t="str">
        <f t="shared" si="87"/>
        <v>015</v>
      </c>
      <c r="B621" s="4" t="s">
        <v>26</v>
      </c>
      <c r="C621" s="4" t="str">
        <f>"王嘉慧"</f>
        <v>王嘉慧</v>
      </c>
      <c r="D621" s="4" t="str">
        <f>"2021020404"</f>
        <v>2021020404</v>
      </c>
      <c r="E621" s="4" t="str">
        <f>"04"</f>
        <v>04</v>
      </c>
      <c r="F621" s="4" t="str">
        <f>"04"</f>
        <v>04</v>
      </c>
      <c r="G621" s="4" t="s">
        <v>27</v>
      </c>
      <c r="H621" s="5">
        <v>69.05</v>
      </c>
      <c r="I621" s="4"/>
      <c r="J621" s="4">
        <f>SUMPRODUCT(--((A621=$A$3:$A$2785)*$H$3:$H$2785&gt;H621))+1</f>
        <v>19</v>
      </c>
    </row>
    <row r="622" s="1" customFormat="true" customHeight="true" spans="1:10">
      <c r="A622" s="4" t="str">
        <f t="shared" si="87"/>
        <v>015</v>
      </c>
      <c r="B622" s="4" t="s">
        <v>26</v>
      </c>
      <c r="C622" s="4" t="str">
        <f>"张景"</f>
        <v>张景</v>
      </c>
      <c r="D622" s="4" t="str">
        <f>"2021020327"</f>
        <v>2021020327</v>
      </c>
      <c r="E622" s="4" t="str">
        <f t="shared" ref="E622:E625" si="92">"03"</f>
        <v>03</v>
      </c>
      <c r="F622" s="4" t="str">
        <f>"27"</f>
        <v>27</v>
      </c>
      <c r="G622" s="4" t="s">
        <v>27</v>
      </c>
      <c r="H622" s="5">
        <v>69</v>
      </c>
      <c r="I622" s="4"/>
      <c r="J622" s="4">
        <f>SUMPRODUCT(--((A622=$A$3:$A$2785)*$H$3:$H$2785&gt;H622))+1</f>
        <v>20</v>
      </c>
    </row>
    <row r="623" s="1" customFormat="true" customHeight="true" spans="1:10">
      <c r="A623" s="4" t="str">
        <f t="shared" si="87"/>
        <v>015</v>
      </c>
      <c r="B623" s="4" t="s">
        <v>26</v>
      </c>
      <c r="C623" s="4" t="str">
        <f>"覃昱文"</f>
        <v>覃昱文</v>
      </c>
      <c r="D623" s="4" t="str">
        <f>"2021020209"</f>
        <v>2021020209</v>
      </c>
      <c r="E623" s="4" t="str">
        <f t="shared" si="91"/>
        <v>02</v>
      </c>
      <c r="F623" s="4" t="str">
        <f>"09"</f>
        <v>09</v>
      </c>
      <c r="G623" s="4" t="s">
        <v>27</v>
      </c>
      <c r="H623" s="5">
        <v>68.65</v>
      </c>
      <c r="I623" s="4"/>
      <c r="J623" s="4">
        <f>SUMPRODUCT(--((A623=$A$3:$A$2785)*$H$3:$H$2785&gt;H623))+1</f>
        <v>21</v>
      </c>
    </row>
    <row r="624" s="1" customFormat="true" customHeight="true" spans="1:10">
      <c r="A624" s="4" t="str">
        <f t="shared" si="87"/>
        <v>015</v>
      </c>
      <c r="B624" s="4" t="s">
        <v>26</v>
      </c>
      <c r="C624" s="4" t="str">
        <f>"冯鑫"</f>
        <v>冯鑫</v>
      </c>
      <c r="D624" s="4" t="str">
        <f>"2021020329"</f>
        <v>2021020329</v>
      </c>
      <c r="E624" s="4" t="str">
        <f t="shared" si="92"/>
        <v>03</v>
      </c>
      <c r="F624" s="4" t="str">
        <f>"29"</f>
        <v>29</v>
      </c>
      <c r="G624" s="4" t="s">
        <v>27</v>
      </c>
      <c r="H624" s="5">
        <v>68.05</v>
      </c>
      <c r="I624" s="4"/>
      <c r="J624" s="4">
        <f>SUMPRODUCT(--((A624=$A$3:$A$2785)*$H$3:$H$2785&gt;H624))+1</f>
        <v>22</v>
      </c>
    </row>
    <row r="625" s="1" customFormat="true" customHeight="true" spans="1:10">
      <c r="A625" s="4" t="str">
        <f t="shared" si="87"/>
        <v>015</v>
      </c>
      <c r="B625" s="4" t="s">
        <v>26</v>
      </c>
      <c r="C625" s="4" t="str">
        <f>"印涛"</f>
        <v>印涛</v>
      </c>
      <c r="D625" s="4" t="str">
        <f>"2021020308"</f>
        <v>2021020308</v>
      </c>
      <c r="E625" s="4" t="str">
        <f t="shared" si="92"/>
        <v>03</v>
      </c>
      <c r="F625" s="4" t="str">
        <f>"08"</f>
        <v>08</v>
      </c>
      <c r="G625" s="4" t="s">
        <v>27</v>
      </c>
      <c r="H625" s="5">
        <v>67.95</v>
      </c>
      <c r="I625" s="4"/>
      <c r="J625" s="4">
        <f>SUMPRODUCT(--((A625=$A$3:$A$2785)*$H$3:$H$2785&gt;H625))+1</f>
        <v>23</v>
      </c>
    </row>
    <row r="626" s="1" customFormat="true" customHeight="true" spans="1:10">
      <c r="A626" s="4" t="str">
        <f t="shared" si="87"/>
        <v>015</v>
      </c>
      <c r="B626" s="4" t="s">
        <v>26</v>
      </c>
      <c r="C626" s="4" t="str">
        <f>"张瀚文"</f>
        <v>张瀚文</v>
      </c>
      <c r="D626" s="4" t="str">
        <f>"2021020102"</f>
        <v>2021020102</v>
      </c>
      <c r="E626" s="4" t="str">
        <f>"01"</f>
        <v>01</v>
      </c>
      <c r="F626" s="4" t="str">
        <f>"02"</f>
        <v>02</v>
      </c>
      <c r="G626" s="4" t="s">
        <v>27</v>
      </c>
      <c r="H626" s="5">
        <v>67.9</v>
      </c>
      <c r="I626" s="4"/>
      <c r="J626" s="4">
        <f>SUMPRODUCT(--((A626=$A$3:$A$2785)*$H$3:$H$2785&gt;H626))+1</f>
        <v>24</v>
      </c>
    </row>
    <row r="627" s="1" customFormat="true" customHeight="true" spans="1:10">
      <c r="A627" s="4" t="str">
        <f t="shared" si="87"/>
        <v>015</v>
      </c>
      <c r="B627" s="4" t="s">
        <v>26</v>
      </c>
      <c r="C627" s="4" t="str">
        <f>"张迪"</f>
        <v>张迪</v>
      </c>
      <c r="D627" s="4" t="str">
        <f>"2021020224"</f>
        <v>2021020224</v>
      </c>
      <c r="E627" s="4" t="str">
        <f>"02"</f>
        <v>02</v>
      </c>
      <c r="F627" s="4" t="str">
        <f>"24"</f>
        <v>24</v>
      </c>
      <c r="G627" s="4" t="s">
        <v>27</v>
      </c>
      <c r="H627" s="5">
        <v>67.15</v>
      </c>
      <c r="I627" s="4"/>
      <c r="J627" s="4">
        <f>SUMPRODUCT(--((A627=$A$3:$A$2785)*$H$3:$H$2785&gt;H627))+1</f>
        <v>25</v>
      </c>
    </row>
    <row r="628" s="1" customFormat="true" customHeight="true" spans="1:10">
      <c r="A628" s="4" t="str">
        <f t="shared" si="87"/>
        <v>015</v>
      </c>
      <c r="B628" s="4" t="s">
        <v>26</v>
      </c>
      <c r="C628" s="4" t="str">
        <f>"蒲桃桃"</f>
        <v>蒲桃桃</v>
      </c>
      <c r="D628" s="4" t="str">
        <f>"2021020316"</f>
        <v>2021020316</v>
      </c>
      <c r="E628" s="4" t="str">
        <f>"03"</f>
        <v>03</v>
      </c>
      <c r="F628" s="4" t="str">
        <f>"16"</f>
        <v>16</v>
      </c>
      <c r="G628" s="4" t="s">
        <v>27</v>
      </c>
      <c r="H628" s="5">
        <v>67.1</v>
      </c>
      <c r="I628" s="4"/>
      <c r="J628" s="4">
        <f>SUMPRODUCT(--((A628=$A$3:$A$2785)*$H$3:$H$2785&gt;H628))+1</f>
        <v>26</v>
      </c>
    </row>
    <row r="629" s="1" customFormat="true" customHeight="true" spans="1:10">
      <c r="A629" s="4" t="str">
        <f t="shared" si="87"/>
        <v>015</v>
      </c>
      <c r="B629" s="4" t="s">
        <v>26</v>
      </c>
      <c r="C629" s="4" t="str">
        <f>"周胜男"</f>
        <v>周胜男</v>
      </c>
      <c r="D629" s="4" t="str">
        <f>"2021020422"</f>
        <v>2021020422</v>
      </c>
      <c r="E629" s="4" t="str">
        <f>"04"</f>
        <v>04</v>
      </c>
      <c r="F629" s="4" t="str">
        <f>"22"</f>
        <v>22</v>
      </c>
      <c r="G629" s="4" t="s">
        <v>27</v>
      </c>
      <c r="H629" s="5">
        <v>66.85</v>
      </c>
      <c r="I629" s="4"/>
      <c r="J629" s="4">
        <f>SUMPRODUCT(--((A629=$A$3:$A$2785)*$H$3:$H$2785&gt;H629))+1</f>
        <v>27</v>
      </c>
    </row>
    <row r="630" s="1" customFormat="true" customHeight="true" spans="1:10">
      <c r="A630" s="4" t="str">
        <f t="shared" si="87"/>
        <v>015</v>
      </c>
      <c r="B630" s="4" t="s">
        <v>26</v>
      </c>
      <c r="C630" s="4" t="str">
        <f>"满燕燕"</f>
        <v>满燕燕</v>
      </c>
      <c r="D630" s="4" t="str">
        <f>"2021020106"</f>
        <v>2021020106</v>
      </c>
      <c r="E630" s="4" t="str">
        <f>"01"</f>
        <v>01</v>
      </c>
      <c r="F630" s="4" t="str">
        <f>"06"</f>
        <v>06</v>
      </c>
      <c r="G630" s="4" t="s">
        <v>27</v>
      </c>
      <c r="H630" s="5">
        <v>66.55</v>
      </c>
      <c r="I630" s="4"/>
      <c r="J630" s="4">
        <f>SUMPRODUCT(--((A630=$A$3:$A$2785)*$H$3:$H$2785&gt;H630))+1</f>
        <v>28</v>
      </c>
    </row>
    <row r="631" s="1" customFormat="true" customHeight="true" spans="1:10">
      <c r="A631" s="4" t="str">
        <f t="shared" si="87"/>
        <v>015</v>
      </c>
      <c r="B631" s="4" t="s">
        <v>26</v>
      </c>
      <c r="C631" s="4" t="str">
        <f>"黄雅莉"</f>
        <v>黄雅莉</v>
      </c>
      <c r="D631" s="4" t="str">
        <f>"2021020503"</f>
        <v>2021020503</v>
      </c>
      <c r="E631" s="4" t="str">
        <f>"05"</f>
        <v>05</v>
      </c>
      <c r="F631" s="4" t="str">
        <f>"03"</f>
        <v>03</v>
      </c>
      <c r="G631" s="4" t="s">
        <v>27</v>
      </c>
      <c r="H631" s="5">
        <v>65.4</v>
      </c>
      <c r="I631" s="4"/>
      <c r="J631" s="4">
        <f>SUMPRODUCT(--((A631=$A$3:$A$2785)*$H$3:$H$2785&gt;H631))+1</f>
        <v>29</v>
      </c>
    </row>
    <row r="632" s="1" customFormat="true" customHeight="true" spans="1:10">
      <c r="A632" s="4" t="str">
        <f t="shared" si="87"/>
        <v>015</v>
      </c>
      <c r="B632" s="4" t="s">
        <v>26</v>
      </c>
      <c r="C632" s="4" t="str">
        <f>"陈美霖"</f>
        <v>陈美霖</v>
      </c>
      <c r="D632" s="4" t="str">
        <f>"2021020126"</f>
        <v>2021020126</v>
      </c>
      <c r="E632" s="4" t="str">
        <f>"01"</f>
        <v>01</v>
      </c>
      <c r="F632" s="4" t="str">
        <f>"26"</f>
        <v>26</v>
      </c>
      <c r="G632" s="4" t="s">
        <v>27</v>
      </c>
      <c r="H632" s="5">
        <v>65</v>
      </c>
      <c r="I632" s="4"/>
      <c r="J632" s="4">
        <f>SUMPRODUCT(--((A632=$A$3:$A$2785)*$H$3:$H$2785&gt;H632))+1</f>
        <v>30</v>
      </c>
    </row>
    <row r="633" s="1" customFormat="true" customHeight="true" spans="1:10">
      <c r="A633" s="4" t="str">
        <f t="shared" si="87"/>
        <v>015</v>
      </c>
      <c r="B633" s="4" t="s">
        <v>26</v>
      </c>
      <c r="C633" s="4" t="str">
        <f>"田思师"</f>
        <v>田思师</v>
      </c>
      <c r="D633" s="4" t="str">
        <f>"2021020317"</f>
        <v>2021020317</v>
      </c>
      <c r="E633" s="4" t="str">
        <f>"03"</f>
        <v>03</v>
      </c>
      <c r="F633" s="4" t="str">
        <f>"17"</f>
        <v>17</v>
      </c>
      <c r="G633" s="4" t="s">
        <v>27</v>
      </c>
      <c r="H633" s="5">
        <v>64.75</v>
      </c>
      <c r="I633" s="4"/>
      <c r="J633" s="4">
        <f>SUMPRODUCT(--((A633=$A$3:$A$2785)*$H$3:$H$2785&gt;H633))+1</f>
        <v>31</v>
      </c>
    </row>
    <row r="634" s="1" customFormat="true" customHeight="true" spans="1:10">
      <c r="A634" s="4" t="str">
        <f t="shared" si="87"/>
        <v>015</v>
      </c>
      <c r="B634" s="4" t="s">
        <v>26</v>
      </c>
      <c r="C634" s="4" t="str">
        <f>"舒子琴"</f>
        <v>舒子琴</v>
      </c>
      <c r="D634" s="4" t="str">
        <f>"2021020223"</f>
        <v>2021020223</v>
      </c>
      <c r="E634" s="4" t="str">
        <f t="shared" ref="E634:E637" si="93">"02"</f>
        <v>02</v>
      </c>
      <c r="F634" s="4" t="str">
        <f>"23"</f>
        <v>23</v>
      </c>
      <c r="G634" s="4" t="s">
        <v>27</v>
      </c>
      <c r="H634" s="5">
        <v>64.7</v>
      </c>
      <c r="I634" s="4"/>
      <c r="J634" s="4">
        <f>SUMPRODUCT(--((A634=$A$3:$A$2785)*$H$3:$H$2785&gt;H634))+1</f>
        <v>32</v>
      </c>
    </row>
    <row r="635" s="1" customFormat="true" customHeight="true" spans="1:10">
      <c r="A635" s="4" t="str">
        <f t="shared" si="87"/>
        <v>015</v>
      </c>
      <c r="B635" s="4" t="s">
        <v>26</v>
      </c>
      <c r="C635" s="4" t="str">
        <f>"舒丽君"</f>
        <v>舒丽君</v>
      </c>
      <c r="D635" s="4" t="str">
        <f>"2021020213"</f>
        <v>2021020213</v>
      </c>
      <c r="E635" s="4" t="str">
        <f t="shared" si="93"/>
        <v>02</v>
      </c>
      <c r="F635" s="4" t="str">
        <f>"13"</f>
        <v>13</v>
      </c>
      <c r="G635" s="4" t="s">
        <v>27</v>
      </c>
      <c r="H635" s="5">
        <v>64.6</v>
      </c>
      <c r="I635" s="4"/>
      <c r="J635" s="4">
        <f>SUMPRODUCT(--((A635=$A$3:$A$2785)*$H$3:$H$2785&gt;H635))+1</f>
        <v>33</v>
      </c>
    </row>
    <row r="636" s="1" customFormat="true" customHeight="true" spans="1:10">
      <c r="A636" s="4" t="str">
        <f t="shared" si="87"/>
        <v>015</v>
      </c>
      <c r="B636" s="4" t="s">
        <v>26</v>
      </c>
      <c r="C636" s="4" t="str">
        <f>"杨孟莹"</f>
        <v>杨孟莹</v>
      </c>
      <c r="D636" s="4" t="str">
        <f>"2021020215"</f>
        <v>2021020215</v>
      </c>
      <c r="E636" s="4" t="str">
        <f t="shared" si="93"/>
        <v>02</v>
      </c>
      <c r="F636" s="4" t="str">
        <f>"15"</f>
        <v>15</v>
      </c>
      <c r="G636" s="4" t="s">
        <v>27</v>
      </c>
      <c r="H636" s="5">
        <v>64.45</v>
      </c>
      <c r="I636" s="4"/>
      <c r="J636" s="4">
        <f>SUMPRODUCT(--((A636=$A$3:$A$2785)*$H$3:$H$2785&gt;H636))+1</f>
        <v>34</v>
      </c>
    </row>
    <row r="637" s="1" customFormat="true" customHeight="true" spans="1:10">
      <c r="A637" s="4" t="str">
        <f t="shared" si="87"/>
        <v>015</v>
      </c>
      <c r="B637" s="4" t="s">
        <v>26</v>
      </c>
      <c r="C637" s="4" t="str">
        <f>"夏梓清"</f>
        <v>夏梓清</v>
      </c>
      <c r="D637" s="4" t="str">
        <f>"2021020208"</f>
        <v>2021020208</v>
      </c>
      <c r="E637" s="4" t="str">
        <f t="shared" si="93"/>
        <v>02</v>
      </c>
      <c r="F637" s="4" t="str">
        <f>"08"</f>
        <v>08</v>
      </c>
      <c r="G637" s="4" t="s">
        <v>27</v>
      </c>
      <c r="H637" s="5">
        <v>63.6</v>
      </c>
      <c r="I637" s="4"/>
      <c r="J637" s="4">
        <f>SUMPRODUCT(--((A637=$A$3:$A$2785)*$H$3:$H$2785&gt;H637))+1</f>
        <v>35</v>
      </c>
    </row>
    <row r="638" s="1" customFormat="true" customHeight="true" spans="1:10">
      <c r="A638" s="4" t="str">
        <f t="shared" si="87"/>
        <v>015</v>
      </c>
      <c r="B638" s="4" t="s">
        <v>26</v>
      </c>
      <c r="C638" s="4" t="str">
        <f>"张凉"</f>
        <v>张凉</v>
      </c>
      <c r="D638" s="4" t="str">
        <f>"2021020118"</f>
        <v>2021020118</v>
      </c>
      <c r="E638" s="4" t="str">
        <f>"01"</f>
        <v>01</v>
      </c>
      <c r="F638" s="4" t="str">
        <f>"18"</f>
        <v>18</v>
      </c>
      <c r="G638" s="4" t="s">
        <v>27</v>
      </c>
      <c r="H638" s="5">
        <v>63.5</v>
      </c>
      <c r="I638" s="4"/>
      <c r="J638" s="4">
        <f>SUMPRODUCT(--((A638=$A$3:$A$2785)*$H$3:$H$2785&gt;H638))+1</f>
        <v>36</v>
      </c>
    </row>
    <row r="639" s="1" customFormat="true" customHeight="true" spans="1:10">
      <c r="A639" s="4" t="str">
        <f t="shared" si="87"/>
        <v>015</v>
      </c>
      <c r="B639" s="4" t="s">
        <v>26</v>
      </c>
      <c r="C639" s="4" t="str">
        <f>"覃彩云"</f>
        <v>覃彩云</v>
      </c>
      <c r="D639" s="4" t="str">
        <f>"2021020225"</f>
        <v>2021020225</v>
      </c>
      <c r="E639" s="4" t="str">
        <f>"02"</f>
        <v>02</v>
      </c>
      <c r="F639" s="4" t="str">
        <f>"25"</f>
        <v>25</v>
      </c>
      <c r="G639" s="4" t="s">
        <v>27</v>
      </c>
      <c r="H639" s="5">
        <v>63.45</v>
      </c>
      <c r="I639" s="4"/>
      <c r="J639" s="4">
        <f>SUMPRODUCT(--((A639=$A$3:$A$2785)*$H$3:$H$2785&gt;H639))+1</f>
        <v>37</v>
      </c>
    </row>
    <row r="640" s="1" customFormat="true" customHeight="true" spans="1:10">
      <c r="A640" s="4" t="str">
        <f t="shared" si="87"/>
        <v>015</v>
      </c>
      <c r="B640" s="4" t="s">
        <v>26</v>
      </c>
      <c r="C640" s="4" t="str">
        <f>" 李叶舟"</f>
        <v> 李叶舟</v>
      </c>
      <c r="D640" s="4" t="str">
        <f>"2021020401"</f>
        <v>2021020401</v>
      </c>
      <c r="E640" s="4" t="str">
        <f t="shared" ref="E640:E643" si="94">"04"</f>
        <v>04</v>
      </c>
      <c r="F640" s="4" t="str">
        <f>"01"</f>
        <v>01</v>
      </c>
      <c r="G640" s="4" t="s">
        <v>27</v>
      </c>
      <c r="H640" s="5">
        <v>63.25</v>
      </c>
      <c r="I640" s="4"/>
      <c r="J640" s="4">
        <f>SUMPRODUCT(--((A640=$A$3:$A$2785)*$H$3:$H$2785&gt;H640))+1</f>
        <v>38</v>
      </c>
    </row>
    <row r="641" s="1" customFormat="true" customHeight="true" spans="1:10">
      <c r="A641" s="4" t="str">
        <f t="shared" si="87"/>
        <v>015</v>
      </c>
      <c r="B641" s="4" t="s">
        <v>26</v>
      </c>
      <c r="C641" s="4" t="str">
        <f>"向琴芳"</f>
        <v>向琴芳</v>
      </c>
      <c r="D641" s="4" t="str">
        <f>"2021020425"</f>
        <v>2021020425</v>
      </c>
      <c r="E641" s="4" t="str">
        <f t="shared" si="94"/>
        <v>04</v>
      </c>
      <c r="F641" s="4" t="str">
        <f>"25"</f>
        <v>25</v>
      </c>
      <c r="G641" s="4" t="s">
        <v>27</v>
      </c>
      <c r="H641" s="5">
        <v>62.75</v>
      </c>
      <c r="I641" s="4"/>
      <c r="J641" s="4">
        <f>SUMPRODUCT(--((A641=$A$3:$A$2785)*$H$3:$H$2785&gt;H641))+1</f>
        <v>39</v>
      </c>
    </row>
    <row r="642" s="1" customFormat="true" customHeight="true" spans="1:10">
      <c r="A642" s="4" t="str">
        <f t="shared" si="87"/>
        <v>015</v>
      </c>
      <c r="B642" s="4" t="s">
        <v>26</v>
      </c>
      <c r="C642" s="4" t="str">
        <f>"周琪"</f>
        <v>周琪</v>
      </c>
      <c r="D642" s="4" t="str">
        <f>"2021020127"</f>
        <v>2021020127</v>
      </c>
      <c r="E642" s="4" t="str">
        <f>"01"</f>
        <v>01</v>
      </c>
      <c r="F642" s="4" t="str">
        <f>"27"</f>
        <v>27</v>
      </c>
      <c r="G642" s="4" t="s">
        <v>27</v>
      </c>
      <c r="H642" s="5">
        <v>62.1</v>
      </c>
      <c r="I642" s="4"/>
      <c r="J642" s="4">
        <f>SUMPRODUCT(--((A642=$A$3:$A$2785)*$H$3:$H$2785&gt;H642))+1</f>
        <v>40</v>
      </c>
    </row>
    <row r="643" s="1" customFormat="true" customHeight="true" spans="1:10">
      <c r="A643" s="4" t="str">
        <f t="shared" si="87"/>
        <v>015</v>
      </c>
      <c r="B643" s="4" t="s">
        <v>26</v>
      </c>
      <c r="C643" s="4" t="str">
        <f>"颜璐"</f>
        <v>颜璐</v>
      </c>
      <c r="D643" s="4" t="str">
        <f>"2021020429"</f>
        <v>2021020429</v>
      </c>
      <c r="E643" s="4" t="str">
        <f t="shared" si="94"/>
        <v>04</v>
      </c>
      <c r="F643" s="4" t="str">
        <f>"29"</f>
        <v>29</v>
      </c>
      <c r="G643" s="4" t="s">
        <v>27</v>
      </c>
      <c r="H643" s="5">
        <v>61.9</v>
      </c>
      <c r="I643" s="4"/>
      <c r="J643" s="4">
        <f>SUMPRODUCT(--((A643=$A$3:$A$2785)*$H$3:$H$2785&gt;H643))+1</f>
        <v>41</v>
      </c>
    </row>
    <row r="644" s="1" customFormat="true" customHeight="true" spans="1:10">
      <c r="A644" s="4" t="str">
        <f t="shared" si="87"/>
        <v>015</v>
      </c>
      <c r="B644" s="4" t="s">
        <v>26</v>
      </c>
      <c r="C644" s="4" t="str">
        <f>"杨胜锦"</f>
        <v>杨胜锦</v>
      </c>
      <c r="D644" s="4" t="str">
        <f>"2021020228"</f>
        <v>2021020228</v>
      </c>
      <c r="E644" s="4" t="str">
        <f t="shared" ref="E644:E647" si="95">"02"</f>
        <v>02</v>
      </c>
      <c r="F644" s="4" t="str">
        <f>"28"</f>
        <v>28</v>
      </c>
      <c r="G644" s="4" t="s">
        <v>27</v>
      </c>
      <c r="H644" s="5">
        <v>61.8</v>
      </c>
      <c r="I644" s="4"/>
      <c r="J644" s="4">
        <f>SUMPRODUCT(--((A644=$A$3:$A$2785)*$H$3:$H$2785&gt;H644))+1</f>
        <v>42</v>
      </c>
    </row>
    <row r="645" s="1" customFormat="true" customHeight="true" spans="1:10">
      <c r="A645" s="4" t="str">
        <f t="shared" si="87"/>
        <v>015</v>
      </c>
      <c r="B645" s="4" t="s">
        <v>26</v>
      </c>
      <c r="C645" s="4" t="str">
        <f>"向丽露"</f>
        <v>向丽露</v>
      </c>
      <c r="D645" s="4" t="str">
        <f>"2021020207"</f>
        <v>2021020207</v>
      </c>
      <c r="E645" s="4" t="str">
        <f t="shared" si="95"/>
        <v>02</v>
      </c>
      <c r="F645" s="4" t="str">
        <f>"07"</f>
        <v>07</v>
      </c>
      <c r="G645" s="4" t="s">
        <v>27</v>
      </c>
      <c r="H645" s="5">
        <v>61.1</v>
      </c>
      <c r="I645" s="4"/>
      <c r="J645" s="4">
        <f>SUMPRODUCT(--((A645=$A$3:$A$2785)*$H$3:$H$2785&gt;H645))+1</f>
        <v>43</v>
      </c>
    </row>
    <row r="646" s="1" customFormat="true" customHeight="true" spans="1:10">
      <c r="A646" s="4" t="str">
        <f t="shared" si="87"/>
        <v>015</v>
      </c>
      <c r="B646" s="4" t="s">
        <v>26</v>
      </c>
      <c r="C646" s="4" t="str">
        <f>"王荣韬"</f>
        <v>王荣韬</v>
      </c>
      <c r="D646" s="4" t="str">
        <f>"2021020413"</f>
        <v>2021020413</v>
      </c>
      <c r="E646" s="4" t="str">
        <f>"04"</f>
        <v>04</v>
      </c>
      <c r="F646" s="4" t="str">
        <f>"13"</f>
        <v>13</v>
      </c>
      <c r="G646" s="4" t="s">
        <v>27</v>
      </c>
      <c r="H646" s="5">
        <v>60.9</v>
      </c>
      <c r="I646" s="4"/>
      <c r="J646" s="4">
        <f>SUMPRODUCT(--((A646=$A$3:$A$2785)*$H$3:$H$2785&gt;H646))+1</f>
        <v>44</v>
      </c>
    </row>
    <row r="647" s="1" customFormat="true" customHeight="true" spans="1:10">
      <c r="A647" s="4" t="str">
        <f t="shared" si="87"/>
        <v>015</v>
      </c>
      <c r="B647" s="4" t="s">
        <v>26</v>
      </c>
      <c r="C647" s="4" t="str">
        <f>"熊忆婷"</f>
        <v>熊忆婷</v>
      </c>
      <c r="D647" s="4" t="str">
        <f>"2021020222"</f>
        <v>2021020222</v>
      </c>
      <c r="E647" s="4" t="str">
        <f t="shared" si="95"/>
        <v>02</v>
      </c>
      <c r="F647" s="4" t="str">
        <f>"22"</f>
        <v>22</v>
      </c>
      <c r="G647" s="4" t="s">
        <v>27</v>
      </c>
      <c r="H647" s="5">
        <v>60.75</v>
      </c>
      <c r="I647" s="4"/>
      <c r="J647" s="4">
        <f>SUMPRODUCT(--((A647=$A$3:$A$2785)*$H$3:$H$2785&gt;H647))+1</f>
        <v>45</v>
      </c>
    </row>
    <row r="648" s="1" customFormat="true" customHeight="true" spans="1:10">
      <c r="A648" s="4" t="str">
        <f t="shared" si="87"/>
        <v>015</v>
      </c>
      <c r="B648" s="4" t="s">
        <v>26</v>
      </c>
      <c r="C648" s="4" t="str">
        <f>"杨建春"</f>
        <v>杨建春</v>
      </c>
      <c r="D648" s="4" t="str">
        <f>"2021020501"</f>
        <v>2021020501</v>
      </c>
      <c r="E648" s="4" t="str">
        <f>"05"</f>
        <v>05</v>
      </c>
      <c r="F648" s="4" t="str">
        <f>"01"</f>
        <v>01</v>
      </c>
      <c r="G648" s="4" t="s">
        <v>27</v>
      </c>
      <c r="H648" s="5">
        <v>60.1</v>
      </c>
      <c r="I648" s="4"/>
      <c r="J648" s="4">
        <f>SUMPRODUCT(--((A648=$A$3:$A$2785)*$H$3:$H$2785&gt;H648))+1</f>
        <v>46</v>
      </c>
    </row>
    <row r="649" s="1" customFormat="true" customHeight="true" spans="1:10">
      <c r="A649" s="4" t="str">
        <f t="shared" si="87"/>
        <v>015</v>
      </c>
      <c r="B649" s="4" t="s">
        <v>26</v>
      </c>
      <c r="C649" s="4" t="str">
        <f>"缪芷齐"</f>
        <v>缪芷齐</v>
      </c>
      <c r="D649" s="4" t="str">
        <f>"2021020204"</f>
        <v>2021020204</v>
      </c>
      <c r="E649" s="4" t="str">
        <f>"02"</f>
        <v>02</v>
      </c>
      <c r="F649" s="4" t="str">
        <f>"04"</f>
        <v>04</v>
      </c>
      <c r="G649" s="4" t="s">
        <v>27</v>
      </c>
      <c r="H649" s="5">
        <v>59.65</v>
      </c>
      <c r="I649" s="4"/>
      <c r="J649" s="4">
        <f>SUMPRODUCT(--((A649=$A$3:$A$2785)*$H$3:$H$2785&gt;H649))+1</f>
        <v>47</v>
      </c>
    </row>
    <row r="650" s="1" customFormat="true" customHeight="true" spans="1:10">
      <c r="A650" s="4" t="str">
        <f t="shared" si="87"/>
        <v>015</v>
      </c>
      <c r="B650" s="4" t="s">
        <v>26</v>
      </c>
      <c r="C650" s="4" t="str">
        <f>"李梦"</f>
        <v>李梦</v>
      </c>
      <c r="D650" s="4" t="str">
        <f>"2021020309"</f>
        <v>2021020309</v>
      </c>
      <c r="E650" s="4" t="str">
        <f t="shared" ref="E650:E654" si="96">"03"</f>
        <v>03</v>
      </c>
      <c r="F650" s="4" t="str">
        <f>"09"</f>
        <v>09</v>
      </c>
      <c r="G650" s="4" t="s">
        <v>27</v>
      </c>
      <c r="H650" s="5">
        <v>59.65</v>
      </c>
      <c r="I650" s="4"/>
      <c r="J650" s="4">
        <f>SUMPRODUCT(--((A650=$A$3:$A$2785)*$H$3:$H$2785&gt;H650))+1</f>
        <v>47</v>
      </c>
    </row>
    <row r="651" s="1" customFormat="true" customHeight="true" spans="1:10">
      <c r="A651" s="4" t="str">
        <f t="shared" si="87"/>
        <v>015</v>
      </c>
      <c r="B651" s="4" t="s">
        <v>26</v>
      </c>
      <c r="C651" s="4" t="str">
        <f>"陈代华"</f>
        <v>陈代华</v>
      </c>
      <c r="D651" s="4" t="str">
        <f>"2021020105"</f>
        <v>2021020105</v>
      </c>
      <c r="E651" s="4" t="str">
        <f>"01"</f>
        <v>01</v>
      </c>
      <c r="F651" s="4" t="str">
        <f>"05"</f>
        <v>05</v>
      </c>
      <c r="G651" s="4" t="s">
        <v>27</v>
      </c>
      <c r="H651" s="5">
        <v>59.2</v>
      </c>
      <c r="I651" s="4"/>
      <c r="J651" s="4">
        <f>SUMPRODUCT(--((A651=$A$3:$A$2785)*$H$3:$H$2785&gt;H651))+1</f>
        <v>49</v>
      </c>
    </row>
    <row r="652" s="1" customFormat="true" customHeight="true" spans="1:10">
      <c r="A652" s="4" t="str">
        <f t="shared" si="87"/>
        <v>015</v>
      </c>
      <c r="B652" s="4" t="s">
        <v>26</v>
      </c>
      <c r="C652" s="4" t="str">
        <f>"杨晨"</f>
        <v>杨晨</v>
      </c>
      <c r="D652" s="4" t="str">
        <f>"2021020414"</f>
        <v>2021020414</v>
      </c>
      <c r="E652" s="4" t="str">
        <f>"04"</f>
        <v>04</v>
      </c>
      <c r="F652" s="4" t="str">
        <f>"14"</f>
        <v>14</v>
      </c>
      <c r="G652" s="4" t="s">
        <v>27</v>
      </c>
      <c r="H652" s="5">
        <v>58.95</v>
      </c>
      <c r="I652" s="4"/>
      <c r="J652" s="4">
        <f>SUMPRODUCT(--((A652=$A$3:$A$2785)*$H$3:$H$2785&gt;H652))+1</f>
        <v>50</v>
      </c>
    </row>
    <row r="653" s="1" customFormat="true" customHeight="true" spans="1:10">
      <c r="A653" s="4" t="str">
        <f t="shared" si="87"/>
        <v>015</v>
      </c>
      <c r="B653" s="4" t="s">
        <v>26</v>
      </c>
      <c r="C653" s="4" t="str">
        <f>"彭蓝霄"</f>
        <v>彭蓝霄</v>
      </c>
      <c r="D653" s="4" t="str">
        <f>"2021020323"</f>
        <v>2021020323</v>
      </c>
      <c r="E653" s="4" t="str">
        <f t="shared" si="96"/>
        <v>03</v>
      </c>
      <c r="F653" s="4" t="str">
        <f>"23"</f>
        <v>23</v>
      </c>
      <c r="G653" s="4" t="s">
        <v>27</v>
      </c>
      <c r="H653" s="5">
        <v>57.85</v>
      </c>
      <c r="I653" s="4"/>
      <c r="J653" s="4">
        <f>SUMPRODUCT(--((A653=$A$3:$A$2785)*$H$3:$H$2785&gt;H653))+1</f>
        <v>51</v>
      </c>
    </row>
    <row r="654" s="1" customFormat="true" customHeight="true" spans="1:10">
      <c r="A654" s="4" t="str">
        <f t="shared" si="87"/>
        <v>015</v>
      </c>
      <c r="B654" s="4" t="s">
        <v>26</v>
      </c>
      <c r="C654" s="4" t="str">
        <f>"肖莉"</f>
        <v>肖莉</v>
      </c>
      <c r="D654" s="4" t="str">
        <f>"2021020328"</f>
        <v>2021020328</v>
      </c>
      <c r="E654" s="4" t="str">
        <f t="shared" si="96"/>
        <v>03</v>
      </c>
      <c r="F654" s="4" t="str">
        <f>"28"</f>
        <v>28</v>
      </c>
      <c r="G654" s="4" t="s">
        <v>27</v>
      </c>
      <c r="H654" s="5">
        <v>57.65</v>
      </c>
      <c r="I654" s="4"/>
      <c r="J654" s="4">
        <f>SUMPRODUCT(--((A654=$A$3:$A$2785)*$H$3:$H$2785&gt;H654))+1</f>
        <v>52</v>
      </c>
    </row>
    <row r="655" s="1" customFormat="true" customHeight="true" spans="1:10">
      <c r="A655" s="4" t="str">
        <f t="shared" si="87"/>
        <v>015</v>
      </c>
      <c r="B655" s="4" t="s">
        <v>26</v>
      </c>
      <c r="C655" s="4" t="str">
        <f>"徐偲洋"</f>
        <v>徐偲洋</v>
      </c>
      <c r="D655" s="4" t="str">
        <f>"2021020202"</f>
        <v>2021020202</v>
      </c>
      <c r="E655" s="4" t="str">
        <f>"02"</f>
        <v>02</v>
      </c>
      <c r="F655" s="4" t="str">
        <f>"02"</f>
        <v>02</v>
      </c>
      <c r="G655" s="4" t="s">
        <v>27</v>
      </c>
      <c r="H655" s="5">
        <v>56.95</v>
      </c>
      <c r="I655" s="4"/>
      <c r="J655" s="4">
        <f>SUMPRODUCT(--((A655=$A$3:$A$2785)*$H$3:$H$2785&gt;H655))+1</f>
        <v>53</v>
      </c>
    </row>
    <row r="656" s="1" customFormat="true" customHeight="true" spans="1:10">
      <c r="A656" s="4" t="str">
        <f t="shared" si="87"/>
        <v>015</v>
      </c>
      <c r="B656" s="4" t="s">
        <v>26</v>
      </c>
      <c r="C656" s="4" t="str">
        <f>"林佳龙"</f>
        <v>林佳龙</v>
      </c>
      <c r="D656" s="4" t="str">
        <f>"2021020403"</f>
        <v>2021020403</v>
      </c>
      <c r="E656" s="4" t="str">
        <f>"04"</f>
        <v>04</v>
      </c>
      <c r="F656" s="4" t="str">
        <f>"03"</f>
        <v>03</v>
      </c>
      <c r="G656" s="4" t="s">
        <v>27</v>
      </c>
      <c r="H656" s="5">
        <v>56.95</v>
      </c>
      <c r="I656" s="4"/>
      <c r="J656" s="4">
        <f>SUMPRODUCT(--((A656=$A$3:$A$2785)*$H$3:$H$2785&gt;H656))+1</f>
        <v>53</v>
      </c>
    </row>
    <row r="657" s="1" customFormat="true" customHeight="true" spans="1:10">
      <c r="A657" s="4" t="str">
        <f t="shared" si="87"/>
        <v>015</v>
      </c>
      <c r="B657" s="4" t="s">
        <v>26</v>
      </c>
      <c r="C657" s="4" t="str">
        <f>"卢灵钰"</f>
        <v>卢灵钰</v>
      </c>
      <c r="D657" s="4" t="str">
        <f>"2021020108"</f>
        <v>2021020108</v>
      </c>
      <c r="E657" s="4" t="str">
        <f t="shared" ref="E657:E660" si="97">"01"</f>
        <v>01</v>
      </c>
      <c r="F657" s="4" t="str">
        <f>"08"</f>
        <v>08</v>
      </c>
      <c r="G657" s="4" t="s">
        <v>27</v>
      </c>
      <c r="H657" s="5">
        <v>56.7</v>
      </c>
      <c r="I657" s="4"/>
      <c r="J657" s="4">
        <f>SUMPRODUCT(--((A657=$A$3:$A$2785)*$H$3:$H$2785&gt;H657))+1</f>
        <v>55</v>
      </c>
    </row>
    <row r="658" s="1" customFormat="true" customHeight="true" spans="1:10">
      <c r="A658" s="4" t="str">
        <f t="shared" si="87"/>
        <v>015</v>
      </c>
      <c r="B658" s="4" t="s">
        <v>26</v>
      </c>
      <c r="C658" s="4" t="str">
        <f>"王娟娟"</f>
        <v>王娟娟</v>
      </c>
      <c r="D658" s="4" t="str">
        <f>"2021020115"</f>
        <v>2021020115</v>
      </c>
      <c r="E658" s="4" t="str">
        <f t="shared" si="97"/>
        <v>01</v>
      </c>
      <c r="F658" s="4" t="str">
        <f>"15"</f>
        <v>15</v>
      </c>
      <c r="G658" s="4" t="s">
        <v>27</v>
      </c>
      <c r="H658" s="5">
        <v>56</v>
      </c>
      <c r="I658" s="4"/>
      <c r="J658" s="4">
        <f>SUMPRODUCT(--((A658=$A$3:$A$2785)*$H$3:$H$2785&gt;H658))+1</f>
        <v>56</v>
      </c>
    </row>
    <row r="659" s="1" customFormat="true" customHeight="true" spans="1:10">
      <c r="A659" s="4" t="str">
        <f t="shared" si="87"/>
        <v>015</v>
      </c>
      <c r="B659" s="4" t="s">
        <v>26</v>
      </c>
      <c r="C659" s="4" t="str">
        <f>"曾莉斐"</f>
        <v>曾莉斐</v>
      </c>
      <c r="D659" s="4" t="str">
        <f>"2021020406"</f>
        <v>2021020406</v>
      </c>
      <c r="E659" s="4" t="str">
        <f>"04"</f>
        <v>04</v>
      </c>
      <c r="F659" s="4" t="str">
        <f>"06"</f>
        <v>06</v>
      </c>
      <c r="G659" s="4" t="s">
        <v>27</v>
      </c>
      <c r="H659" s="5">
        <v>55.9</v>
      </c>
      <c r="I659" s="4"/>
      <c r="J659" s="4">
        <f>SUMPRODUCT(--((A659=$A$3:$A$2785)*$H$3:$H$2785&gt;H659))+1</f>
        <v>57</v>
      </c>
    </row>
    <row r="660" s="1" customFormat="true" customHeight="true" spans="1:10">
      <c r="A660" s="4" t="str">
        <f t="shared" si="87"/>
        <v>015</v>
      </c>
      <c r="B660" s="4" t="s">
        <v>26</v>
      </c>
      <c r="C660" s="4" t="str">
        <f>"杨莹"</f>
        <v>杨莹</v>
      </c>
      <c r="D660" s="4" t="str">
        <f>"2021020116"</f>
        <v>2021020116</v>
      </c>
      <c r="E660" s="4" t="str">
        <f t="shared" si="97"/>
        <v>01</v>
      </c>
      <c r="F660" s="4" t="str">
        <f>"16"</f>
        <v>16</v>
      </c>
      <c r="G660" s="4" t="s">
        <v>27</v>
      </c>
      <c r="H660" s="5">
        <v>54.1</v>
      </c>
      <c r="I660" s="4"/>
      <c r="J660" s="4">
        <f>SUMPRODUCT(--((A660=$A$3:$A$2785)*$H$3:$H$2785&gt;H660))+1</f>
        <v>58</v>
      </c>
    </row>
    <row r="661" s="1" customFormat="true" customHeight="true" spans="1:10">
      <c r="A661" s="4" t="str">
        <f t="shared" si="87"/>
        <v>015</v>
      </c>
      <c r="B661" s="4" t="s">
        <v>26</v>
      </c>
      <c r="C661" s="4" t="str">
        <f>"李沐洋"</f>
        <v>李沐洋</v>
      </c>
      <c r="D661" s="4" t="str">
        <f>"2021020301"</f>
        <v>2021020301</v>
      </c>
      <c r="E661" s="4" t="str">
        <f>"03"</f>
        <v>03</v>
      </c>
      <c r="F661" s="4" t="str">
        <f>"01"</f>
        <v>01</v>
      </c>
      <c r="G661" s="4" t="s">
        <v>27</v>
      </c>
      <c r="H661" s="5">
        <v>53.2</v>
      </c>
      <c r="I661" s="4"/>
      <c r="J661" s="4">
        <f>SUMPRODUCT(--((A661=$A$3:$A$2785)*$H$3:$H$2785&gt;H661))+1</f>
        <v>59</v>
      </c>
    </row>
    <row r="662" s="1" customFormat="true" customHeight="true" spans="1:10">
      <c r="A662" s="4" t="str">
        <f t="shared" si="87"/>
        <v>015</v>
      </c>
      <c r="B662" s="4" t="s">
        <v>26</v>
      </c>
      <c r="C662" s="4" t="str">
        <f>"舒慧"</f>
        <v>舒慧</v>
      </c>
      <c r="D662" s="4" t="str">
        <f>"2021020218"</f>
        <v>2021020218</v>
      </c>
      <c r="E662" s="4" t="str">
        <f>"02"</f>
        <v>02</v>
      </c>
      <c r="F662" s="4" t="str">
        <f>"18"</f>
        <v>18</v>
      </c>
      <c r="G662" s="4" t="s">
        <v>27</v>
      </c>
      <c r="H662" s="5">
        <v>53.15</v>
      </c>
      <c r="I662" s="4"/>
      <c r="J662" s="4">
        <f>SUMPRODUCT(--((A662=$A$3:$A$2785)*$H$3:$H$2785&gt;H662))+1</f>
        <v>60</v>
      </c>
    </row>
    <row r="663" s="1" customFormat="true" customHeight="true" spans="1:10">
      <c r="A663" s="4" t="str">
        <f t="shared" si="87"/>
        <v>015</v>
      </c>
      <c r="B663" s="4" t="s">
        <v>26</v>
      </c>
      <c r="C663" s="4" t="str">
        <f>"石鑫"</f>
        <v>石鑫</v>
      </c>
      <c r="D663" s="4" t="str">
        <f>"2021020326"</f>
        <v>2021020326</v>
      </c>
      <c r="E663" s="4" t="str">
        <f>"03"</f>
        <v>03</v>
      </c>
      <c r="F663" s="4" t="str">
        <f>"26"</f>
        <v>26</v>
      </c>
      <c r="G663" s="4" t="s">
        <v>27</v>
      </c>
      <c r="H663" s="5">
        <v>50.9</v>
      </c>
      <c r="I663" s="4"/>
      <c r="J663" s="4">
        <f>SUMPRODUCT(--((A663=$A$3:$A$2785)*$H$3:$H$2785&gt;H663))+1</f>
        <v>61</v>
      </c>
    </row>
    <row r="664" s="1" customFormat="true" customHeight="true" spans="1:10">
      <c r="A664" s="4" t="str">
        <f t="shared" si="87"/>
        <v>015</v>
      </c>
      <c r="B664" s="4" t="s">
        <v>26</v>
      </c>
      <c r="C664" s="4" t="str">
        <f>"吴纤"</f>
        <v>吴纤</v>
      </c>
      <c r="D664" s="4" t="str">
        <f>"2021020410"</f>
        <v>2021020410</v>
      </c>
      <c r="E664" s="4" t="str">
        <f>"04"</f>
        <v>04</v>
      </c>
      <c r="F664" s="4" t="str">
        <f>"10"</f>
        <v>10</v>
      </c>
      <c r="G664" s="4" t="s">
        <v>27</v>
      </c>
      <c r="H664" s="5">
        <v>42.4</v>
      </c>
      <c r="I664" s="4"/>
      <c r="J664" s="4">
        <f>SUMPRODUCT(--((A664=$A$3:$A$2785)*$H$3:$H$2785&gt;H664))+1</f>
        <v>62</v>
      </c>
    </row>
    <row r="665" s="1" customFormat="true" customHeight="true" spans="1:10">
      <c r="A665" s="4" t="str">
        <f t="shared" si="87"/>
        <v>015</v>
      </c>
      <c r="B665" s="4" t="s">
        <v>26</v>
      </c>
      <c r="C665" s="4" t="str">
        <f>"彭英姿"</f>
        <v>彭英姿</v>
      </c>
      <c r="D665" s="4" t="str">
        <f>"2021020412"</f>
        <v>2021020412</v>
      </c>
      <c r="E665" s="4" t="str">
        <f>"04"</f>
        <v>04</v>
      </c>
      <c r="F665" s="4" t="str">
        <f>"12"</f>
        <v>12</v>
      </c>
      <c r="G665" s="4" t="s">
        <v>27</v>
      </c>
      <c r="H665" s="5">
        <v>40.6</v>
      </c>
      <c r="I665" s="4"/>
      <c r="J665" s="4">
        <f>SUMPRODUCT(--((A665=$A$3:$A$2785)*$H$3:$H$2785&gt;H665))+1</f>
        <v>63</v>
      </c>
    </row>
    <row r="666" s="1" customFormat="true" customHeight="true" spans="1:10">
      <c r="A666" s="4" t="str">
        <f t="shared" si="87"/>
        <v>015</v>
      </c>
      <c r="B666" s="4" t="s">
        <v>26</v>
      </c>
      <c r="C666" s="4" t="str">
        <f>"李韵蓝"</f>
        <v>李韵蓝</v>
      </c>
      <c r="D666" s="4" t="str">
        <f>"2021020101"</f>
        <v>2021020101</v>
      </c>
      <c r="E666" s="4" t="str">
        <f t="shared" ref="E666:E683" si="98">"01"</f>
        <v>01</v>
      </c>
      <c r="F666" s="4" t="str">
        <f>"01"</f>
        <v>01</v>
      </c>
      <c r="G666" s="4" t="s">
        <v>27</v>
      </c>
      <c r="H666" s="5">
        <v>0</v>
      </c>
      <c r="I666" s="6" t="s">
        <v>13</v>
      </c>
      <c r="J666" s="4">
        <f>SUMPRODUCT(--((A666=$A$3:$A$2785)*$H$3:$H$2785&gt;H666))+1</f>
        <v>64</v>
      </c>
    </row>
    <row r="667" s="1" customFormat="true" customHeight="true" spans="1:10">
      <c r="A667" s="4" t="str">
        <f t="shared" ref="A667:A729" si="99">"015"</f>
        <v>015</v>
      </c>
      <c r="B667" s="4" t="s">
        <v>26</v>
      </c>
      <c r="C667" s="4" t="str">
        <f>"仇秀琳"</f>
        <v>仇秀琳</v>
      </c>
      <c r="D667" s="4" t="str">
        <f>"2021020103"</f>
        <v>2021020103</v>
      </c>
      <c r="E667" s="4" t="str">
        <f t="shared" si="98"/>
        <v>01</v>
      </c>
      <c r="F667" s="4" t="str">
        <f>"03"</f>
        <v>03</v>
      </c>
      <c r="G667" s="4" t="s">
        <v>27</v>
      </c>
      <c r="H667" s="5">
        <v>0</v>
      </c>
      <c r="I667" s="6" t="s">
        <v>13</v>
      </c>
      <c r="J667" s="4">
        <f>SUMPRODUCT(--((A667=$A$3:$A$2785)*$H$3:$H$2785&gt;H667))+1</f>
        <v>64</v>
      </c>
    </row>
    <row r="668" s="1" customFormat="true" customHeight="true" spans="1:10">
      <c r="A668" s="4" t="str">
        <f t="shared" si="99"/>
        <v>015</v>
      </c>
      <c r="B668" s="4" t="s">
        <v>26</v>
      </c>
      <c r="C668" s="4" t="str">
        <f>"蒲向荣"</f>
        <v>蒲向荣</v>
      </c>
      <c r="D668" s="4" t="str">
        <f>"2021020104"</f>
        <v>2021020104</v>
      </c>
      <c r="E668" s="4" t="str">
        <f t="shared" si="98"/>
        <v>01</v>
      </c>
      <c r="F668" s="4" t="str">
        <f>"04"</f>
        <v>04</v>
      </c>
      <c r="G668" s="4" t="s">
        <v>27</v>
      </c>
      <c r="H668" s="5">
        <v>0</v>
      </c>
      <c r="I668" s="6" t="s">
        <v>13</v>
      </c>
      <c r="J668" s="4">
        <f>SUMPRODUCT(--((A668=$A$3:$A$2785)*$H$3:$H$2785&gt;H668))+1</f>
        <v>64</v>
      </c>
    </row>
    <row r="669" s="1" customFormat="true" customHeight="true" spans="1:10">
      <c r="A669" s="4" t="str">
        <f t="shared" si="99"/>
        <v>015</v>
      </c>
      <c r="B669" s="4" t="s">
        <v>26</v>
      </c>
      <c r="C669" s="4" t="str">
        <f>"夏潘潘"</f>
        <v>夏潘潘</v>
      </c>
      <c r="D669" s="4" t="str">
        <f>"2021020107"</f>
        <v>2021020107</v>
      </c>
      <c r="E669" s="4" t="str">
        <f t="shared" si="98"/>
        <v>01</v>
      </c>
      <c r="F669" s="4" t="str">
        <f>"07"</f>
        <v>07</v>
      </c>
      <c r="G669" s="4" t="s">
        <v>27</v>
      </c>
      <c r="H669" s="5">
        <v>0</v>
      </c>
      <c r="I669" s="6" t="s">
        <v>13</v>
      </c>
      <c r="J669" s="4">
        <f>SUMPRODUCT(--((A669=$A$3:$A$2785)*$H$3:$H$2785&gt;H669))+1</f>
        <v>64</v>
      </c>
    </row>
    <row r="670" s="1" customFormat="true" customHeight="true" spans="1:10">
      <c r="A670" s="4" t="str">
        <f t="shared" si="99"/>
        <v>015</v>
      </c>
      <c r="B670" s="4" t="s">
        <v>26</v>
      </c>
      <c r="C670" s="4" t="str">
        <f>"封乐"</f>
        <v>封乐</v>
      </c>
      <c r="D670" s="4" t="str">
        <f>"2021020109"</f>
        <v>2021020109</v>
      </c>
      <c r="E670" s="4" t="str">
        <f t="shared" si="98"/>
        <v>01</v>
      </c>
      <c r="F670" s="4" t="str">
        <f>"09"</f>
        <v>09</v>
      </c>
      <c r="G670" s="4" t="s">
        <v>27</v>
      </c>
      <c r="H670" s="5">
        <v>0</v>
      </c>
      <c r="I670" s="6" t="s">
        <v>13</v>
      </c>
      <c r="J670" s="4">
        <f>SUMPRODUCT(--((A670=$A$3:$A$2785)*$H$3:$H$2785&gt;H670))+1</f>
        <v>64</v>
      </c>
    </row>
    <row r="671" s="1" customFormat="true" customHeight="true" spans="1:10">
      <c r="A671" s="4" t="str">
        <f t="shared" si="99"/>
        <v>015</v>
      </c>
      <c r="B671" s="4" t="s">
        <v>26</v>
      </c>
      <c r="C671" s="4" t="str">
        <f>"饶玉华"</f>
        <v>饶玉华</v>
      </c>
      <c r="D671" s="4" t="str">
        <f>"2021020110"</f>
        <v>2021020110</v>
      </c>
      <c r="E671" s="4" t="str">
        <f t="shared" si="98"/>
        <v>01</v>
      </c>
      <c r="F671" s="4" t="str">
        <f>"10"</f>
        <v>10</v>
      </c>
      <c r="G671" s="4" t="s">
        <v>27</v>
      </c>
      <c r="H671" s="5">
        <v>0</v>
      </c>
      <c r="I671" s="6" t="s">
        <v>13</v>
      </c>
      <c r="J671" s="4">
        <f>SUMPRODUCT(--((A671=$A$3:$A$2785)*$H$3:$H$2785&gt;H671))+1</f>
        <v>64</v>
      </c>
    </row>
    <row r="672" s="1" customFormat="true" customHeight="true" spans="1:10">
      <c r="A672" s="4" t="str">
        <f t="shared" si="99"/>
        <v>015</v>
      </c>
      <c r="B672" s="4" t="s">
        <v>26</v>
      </c>
      <c r="C672" s="4" t="str">
        <f>"邹杨"</f>
        <v>邹杨</v>
      </c>
      <c r="D672" s="4" t="str">
        <f>"2021020111"</f>
        <v>2021020111</v>
      </c>
      <c r="E672" s="4" t="str">
        <f t="shared" si="98"/>
        <v>01</v>
      </c>
      <c r="F672" s="4" t="str">
        <f>"11"</f>
        <v>11</v>
      </c>
      <c r="G672" s="4" t="s">
        <v>27</v>
      </c>
      <c r="H672" s="5">
        <v>0</v>
      </c>
      <c r="I672" s="6" t="s">
        <v>13</v>
      </c>
      <c r="J672" s="4">
        <f>SUMPRODUCT(--((A672=$A$3:$A$2785)*$H$3:$H$2785&gt;H672))+1</f>
        <v>64</v>
      </c>
    </row>
    <row r="673" s="1" customFormat="true" customHeight="true" spans="1:10">
      <c r="A673" s="4" t="str">
        <f t="shared" si="99"/>
        <v>015</v>
      </c>
      <c r="B673" s="4" t="s">
        <v>26</v>
      </c>
      <c r="C673" s="4" t="str">
        <f>"滕美莹"</f>
        <v>滕美莹</v>
      </c>
      <c r="D673" s="4" t="str">
        <f>"2021020112"</f>
        <v>2021020112</v>
      </c>
      <c r="E673" s="4" t="str">
        <f t="shared" si="98"/>
        <v>01</v>
      </c>
      <c r="F673" s="4" t="str">
        <f>"12"</f>
        <v>12</v>
      </c>
      <c r="G673" s="4" t="s">
        <v>27</v>
      </c>
      <c r="H673" s="5">
        <v>0</v>
      </c>
      <c r="I673" s="6" t="s">
        <v>13</v>
      </c>
      <c r="J673" s="4">
        <f>SUMPRODUCT(--((A673=$A$3:$A$2785)*$H$3:$H$2785&gt;H673))+1</f>
        <v>64</v>
      </c>
    </row>
    <row r="674" s="1" customFormat="true" customHeight="true" spans="1:10">
      <c r="A674" s="4" t="str">
        <f t="shared" si="99"/>
        <v>015</v>
      </c>
      <c r="B674" s="4" t="s">
        <v>26</v>
      </c>
      <c r="C674" s="4" t="str">
        <f>"肖衍"</f>
        <v>肖衍</v>
      </c>
      <c r="D674" s="4" t="str">
        <f>"2021020113"</f>
        <v>2021020113</v>
      </c>
      <c r="E674" s="4" t="str">
        <f t="shared" si="98"/>
        <v>01</v>
      </c>
      <c r="F674" s="4" t="str">
        <f>"13"</f>
        <v>13</v>
      </c>
      <c r="G674" s="4" t="s">
        <v>27</v>
      </c>
      <c r="H674" s="5">
        <v>0</v>
      </c>
      <c r="I674" s="6" t="s">
        <v>13</v>
      </c>
      <c r="J674" s="4">
        <f>SUMPRODUCT(--((A674=$A$3:$A$2785)*$H$3:$H$2785&gt;H674))+1</f>
        <v>64</v>
      </c>
    </row>
    <row r="675" s="1" customFormat="true" customHeight="true" spans="1:10">
      <c r="A675" s="4" t="str">
        <f t="shared" si="99"/>
        <v>015</v>
      </c>
      <c r="B675" s="4" t="s">
        <v>26</v>
      </c>
      <c r="C675" s="4" t="str">
        <f>"樊睿敏"</f>
        <v>樊睿敏</v>
      </c>
      <c r="D675" s="4" t="str">
        <f>"2021020114"</f>
        <v>2021020114</v>
      </c>
      <c r="E675" s="4" t="str">
        <f t="shared" si="98"/>
        <v>01</v>
      </c>
      <c r="F675" s="4" t="str">
        <f>"14"</f>
        <v>14</v>
      </c>
      <c r="G675" s="4" t="s">
        <v>27</v>
      </c>
      <c r="H675" s="5">
        <v>0</v>
      </c>
      <c r="I675" s="6" t="s">
        <v>13</v>
      </c>
      <c r="J675" s="4">
        <f>SUMPRODUCT(--((A675=$A$3:$A$2785)*$H$3:$H$2785&gt;H675))+1</f>
        <v>64</v>
      </c>
    </row>
    <row r="676" s="1" customFormat="true" customHeight="true" spans="1:10">
      <c r="A676" s="4" t="str">
        <f t="shared" si="99"/>
        <v>015</v>
      </c>
      <c r="B676" s="4" t="s">
        <v>26</v>
      </c>
      <c r="C676" s="4" t="str">
        <f>"李国胜"</f>
        <v>李国胜</v>
      </c>
      <c r="D676" s="4" t="str">
        <f>"2021020119"</f>
        <v>2021020119</v>
      </c>
      <c r="E676" s="4" t="str">
        <f t="shared" si="98"/>
        <v>01</v>
      </c>
      <c r="F676" s="4" t="str">
        <f>"19"</f>
        <v>19</v>
      </c>
      <c r="G676" s="4" t="s">
        <v>27</v>
      </c>
      <c r="H676" s="5">
        <v>0</v>
      </c>
      <c r="I676" s="6" t="s">
        <v>13</v>
      </c>
      <c r="J676" s="4">
        <f>SUMPRODUCT(--((A676=$A$3:$A$2785)*$H$3:$H$2785&gt;H676))+1</f>
        <v>64</v>
      </c>
    </row>
    <row r="677" s="1" customFormat="true" customHeight="true" spans="1:10">
      <c r="A677" s="4" t="str">
        <f t="shared" si="99"/>
        <v>015</v>
      </c>
      <c r="B677" s="4" t="s">
        <v>26</v>
      </c>
      <c r="C677" s="4" t="str">
        <f>"向婧"</f>
        <v>向婧</v>
      </c>
      <c r="D677" s="4" t="str">
        <f>"2021020121"</f>
        <v>2021020121</v>
      </c>
      <c r="E677" s="4" t="str">
        <f t="shared" si="98"/>
        <v>01</v>
      </c>
      <c r="F677" s="4" t="str">
        <f>"21"</f>
        <v>21</v>
      </c>
      <c r="G677" s="4" t="s">
        <v>27</v>
      </c>
      <c r="H677" s="5">
        <v>0</v>
      </c>
      <c r="I677" s="6" t="s">
        <v>13</v>
      </c>
      <c r="J677" s="4">
        <f>SUMPRODUCT(--((A677=$A$3:$A$2785)*$H$3:$H$2785&gt;H677))+1</f>
        <v>64</v>
      </c>
    </row>
    <row r="678" s="1" customFormat="true" customHeight="true" spans="1:10">
      <c r="A678" s="4" t="str">
        <f t="shared" si="99"/>
        <v>015</v>
      </c>
      <c r="B678" s="4" t="s">
        <v>26</v>
      </c>
      <c r="C678" s="4" t="str">
        <f>"谢婉蓉"</f>
        <v>谢婉蓉</v>
      </c>
      <c r="D678" s="4" t="str">
        <f>"2021020122"</f>
        <v>2021020122</v>
      </c>
      <c r="E678" s="4" t="str">
        <f t="shared" si="98"/>
        <v>01</v>
      </c>
      <c r="F678" s="4" t="str">
        <f>"22"</f>
        <v>22</v>
      </c>
      <c r="G678" s="4" t="s">
        <v>27</v>
      </c>
      <c r="H678" s="5">
        <v>0</v>
      </c>
      <c r="I678" s="6" t="s">
        <v>13</v>
      </c>
      <c r="J678" s="4">
        <f>SUMPRODUCT(--((A678=$A$3:$A$2785)*$H$3:$H$2785&gt;H678))+1</f>
        <v>64</v>
      </c>
    </row>
    <row r="679" s="1" customFormat="true" customHeight="true" spans="1:10">
      <c r="A679" s="4" t="str">
        <f t="shared" si="99"/>
        <v>015</v>
      </c>
      <c r="B679" s="4" t="s">
        <v>26</v>
      </c>
      <c r="C679" s="4" t="str">
        <f>"李燕芳"</f>
        <v>李燕芳</v>
      </c>
      <c r="D679" s="4" t="str">
        <f>"2021020123"</f>
        <v>2021020123</v>
      </c>
      <c r="E679" s="4" t="str">
        <f t="shared" si="98"/>
        <v>01</v>
      </c>
      <c r="F679" s="4" t="str">
        <f>"23"</f>
        <v>23</v>
      </c>
      <c r="G679" s="4" t="s">
        <v>27</v>
      </c>
      <c r="H679" s="5">
        <v>0</v>
      </c>
      <c r="I679" s="6" t="s">
        <v>13</v>
      </c>
      <c r="J679" s="4">
        <f>SUMPRODUCT(--((A679=$A$3:$A$2785)*$H$3:$H$2785&gt;H679))+1</f>
        <v>64</v>
      </c>
    </row>
    <row r="680" s="1" customFormat="true" customHeight="true" spans="1:10">
      <c r="A680" s="4" t="str">
        <f t="shared" si="99"/>
        <v>015</v>
      </c>
      <c r="B680" s="4" t="s">
        <v>26</v>
      </c>
      <c r="C680" s="4" t="str">
        <f>"龚冰洁"</f>
        <v>龚冰洁</v>
      </c>
      <c r="D680" s="4" t="str">
        <f>"2021020124"</f>
        <v>2021020124</v>
      </c>
      <c r="E680" s="4" t="str">
        <f t="shared" si="98"/>
        <v>01</v>
      </c>
      <c r="F680" s="4" t="str">
        <f>"24"</f>
        <v>24</v>
      </c>
      <c r="G680" s="4" t="s">
        <v>27</v>
      </c>
      <c r="H680" s="5">
        <v>0</v>
      </c>
      <c r="I680" s="6" t="s">
        <v>13</v>
      </c>
      <c r="J680" s="4">
        <f>SUMPRODUCT(--((A680=$A$3:$A$2785)*$H$3:$H$2785&gt;H680))+1</f>
        <v>64</v>
      </c>
    </row>
    <row r="681" s="1" customFormat="true" customHeight="true" spans="1:10">
      <c r="A681" s="4" t="str">
        <f t="shared" si="99"/>
        <v>015</v>
      </c>
      <c r="B681" s="4" t="s">
        <v>26</v>
      </c>
      <c r="C681" s="4" t="str">
        <f>"周嫔"</f>
        <v>周嫔</v>
      </c>
      <c r="D681" s="4" t="str">
        <f>"2021020128"</f>
        <v>2021020128</v>
      </c>
      <c r="E681" s="4" t="str">
        <f t="shared" si="98"/>
        <v>01</v>
      </c>
      <c r="F681" s="4" t="str">
        <f>"28"</f>
        <v>28</v>
      </c>
      <c r="G681" s="4" t="s">
        <v>27</v>
      </c>
      <c r="H681" s="5">
        <v>0</v>
      </c>
      <c r="I681" s="6" t="s">
        <v>13</v>
      </c>
      <c r="J681" s="4">
        <f>SUMPRODUCT(--((A681=$A$3:$A$2785)*$H$3:$H$2785&gt;H681))+1</f>
        <v>64</v>
      </c>
    </row>
    <row r="682" s="1" customFormat="true" customHeight="true" spans="1:10">
      <c r="A682" s="4" t="str">
        <f t="shared" si="99"/>
        <v>015</v>
      </c>
      <c r="B682" s="4" t="s">
        <v>26</v>
      </c>
      <c r="C682" s="4" t="str">
        <f>"王思贤"</f>
        <v>王思贤</v>
      </c>
      <c r="D682" s="4" t="str">
        <f>"2021020129"</f>
        <v>2021020129</v>
      </c>
      <c r="E682" s="4" t="str">
        <f t="shared" si="98"/>
        <v>01</v>
      </c>
      <c r="F682" s="4" t="str">
        <f>"29"</f>
        <v>29</v>
      </c>
      <c r="G682" s="4" t="s">
        <v>27</v>
      </c>
      <c r="H682" s="5">
        <v>0</v>
      </c>
      <c r="I682" s="6" t="s">
        <v>13</v>
      </c>
      <c r="J682" s="4">
        <f>SUMPRODUCT(--((A682=$A$3:$A$2785)*$H$3:$H$2785&gt;H682))+1</f>
        <v>64</v>
      </c>
    </row>
    <row r="683" s="1" customFormat="true" customHeight="true" spans="1:10">
      <c r="A683" s="4" t="str">
        <f t="shared" si="99"/>
        <v>015</v>
      </c>
      <c r="B683" s="4" t="s">
        <v>26</v>
      </c>
      <c r="C683" s="4" t="str">
        <f>"李艳雯"</f>
        <v>李艳雯</v>
      </c>
      <c r="D683" s="4" t="str">
        <f>"2021020130"</f>
        <v>2021020130</v>
      </c>
      <c r="E683" s="4" t="str">
        <f t="shared" si="98"/>
        <v>01</v>
      </c>
      <c r="F683" s="4" t="str">
        <f>"30"</f>
        <v>30</v>
      </c>
      <c r="G683" s="4" t="s">
        <v>27</v>
      </c>
      <c r="H683" s="5">
        <v>0</v>
      </c>
      <c r="I683" s="6" t="s">
        <v>13</v>
      </c>
      <c r="J683" s="4">
        <f>SUMPRODUCT(--((A683=$A$3:$A$2785)*$H$3:$H$2785&gt;H683))+1</f>
        <v>64</v>
      </c>
    </row>
    <row r="684" s="1" customFormat="true" customHeight="true" spans="1:10">
      <c r="A684" s="4" t="str">
        <f t="shared" si="99"/>
        <v>015</v>
      </c>
      <c r="B684" s="4" t="s">
        <v>26</v>
      </c>
      <c r="C684" s="4" t="str">
        <f>"李珊珊"</f>
        <v>李珊珊</v>
      </c>
      <c r="D684" s="4" t="str">
        <f>"2021020203"</f>
        <v>2021020203</v>
      </c>
      <c r="E684" s="4" t="str">
        <f t="shared" ref="E684:E695" si="100">"02"</f>
        <v>02</v>
      </c>
      <c r="F684" s="4" t="str">
        <f>"03"</f>
        <v>03</v>
      </c>
      <c r="G684" s="4" t="s">
        <v>27</v>
      </c>
      <c r="H684" s="5">
        <v>0</v>
      </c>
      <c r="I684" s="6" t="s">
        <v>13</v>
      </c>
      <c r="J684" s="4">
        <f>SUMPRODUCT(--((A684=$A$3:$A$2785)*$H$3:$H$2785&gt;H684))+1</f>
        <v>64</v>
      </c>
    </row>
    <row r="685" s="1" customFormat="true" customHeight="true" spans="1:10">
      <c r="A685" s="4" t="str">
        <f t="shared" si="99"/>
        <v>015</v>
      </c>
      <c r="B685" s="4" t="s">
        <v>26</v>
      </c>
      <c r="C685" s="4" t="str">
        <f>"吴琴"</f>
        <v>吴琴</v>
      </c>
      <c r="D685" s="4" t="str">
        <f>"2021020205"</f>
        <v>2021020205</v>
      </c>
      <c r="E685" s="4" t="str">
        <f t="shared" si="100"/>
        <v>02</v>
      </c>
      <c r="F685" s="4" t="str">
        <f>"05"</f>
        <v>05</v>
      </c>
      <c r="G685" s="4" t="s">
        <v>27</v>
      </c>
      <c r="H685" s="5">
        <v>0</v>
      </c>
      <c r="I685" s="6" t="s">
        <v>13</v>
      </c>
      <c r="J685" s="4">
        <f>SUMPRODUCT(--((A685=$A$3:$A$2785)*$H$3:$H$2785&gt;H685))+1</f>
        <v>64</v>
      </c>
    </row>
    <row r="686" s="1" customFormat="true" customHeight="true" spans="1:10">
      <c r="A686" s="4" t="str">
        <f t="shared" si="99"/>
        <v>015</v>
      </c>
      <c r="B686" s="4" t="s">
        <v>26</v>
      </c>
      <c r="C686" s="4" t="str">
        <f>"李鑫佳"</f>
        <v>李鑫佳</v>
      </c>
      <c r="D686" s="4" t="str">
        <f>"2021020206"</f>
        <v>2021020206</v>
      </c>
      <c r="E686" s="4" t="str">
        <f t="shared" si="100"/>
        <v>02</v>
      </c>
      <c r="F686" s="4" t="str">
        <f>"06"</f>
        <v>06</v>
      </c>
      <c r="G686" s="4" t="s">
        <v>27</v>
      </c>
      <c r="H686" s="5">
        <v>0</v>
      </c>
      <c r="I686" s="6" t="s">
        <v>13</v>
      </c>
      <c r="J686" s="4">
        <f>SUMPRODUCT(--((A686=$A$3:$A$2785)*$H$3:$H$2785&gt;H686))+1</f>
        <v>64</v>
      </c>
    </row>
    <row r="687" s="1" customFormat="true" customHeight="true" spans="1:10">
      <c r="A687" s="4" t="str">
        <f t="shared" si="99"/>
        <v>015</v>
      </c>
      <c r="B687" s="4" t="s">
        <v>26</v>
      </c>
      <c r="C687" s="4" t="str">
        <f>"舒洋"</f>
        <v>舒洋</v>
      </c>
      <c r="D687" s="4" t="str">
        <f>"2021020210"</f>
        <v>2021020210</v>
      </c>
      <c r="E687" s="4" t="str">
        <f t="shared" si="100"/>
        <v>02</v>
      </c>
      <c r="F687" s="4" t="str">
        <f>"10"</f>
        <v>10</v>
      </c>
      <c r="G687" s="4" t="s">
        <v>27</v>
      </c>
      <c r="H687" s="5">
        <v>0</v>
      </c>
      <c r="I687" s="6" t="s">
        <v>13</v>
      </c>
      <c r="J687" s="4">
        <f>SUMPRODUCT(--((A687=$A$3:$A$2785)*$H$3:$H$2785&gt;H687))+1</f>
        <v>64</v>
      </c>
    </row>
    <row r="688" s="1" customFormat="true" customHeight="true" spans="1:10">
      <c r="A688" s="4" t="str">
        <f t="shared" si="99"/>
        <v>015</v>
      </c>
      <c r="B688" s="4" t="s">
        <v>26</v>
      </c>
      <c r="C688" s="4" t="str">
        <f>"王景"</f>
        <v>王景</v>
      </c>
      <c r="D688" s="4" t="str">
        <f>"2021020211"</f>
        <v>2021020211</v>
      </c>
      <c r="E688" s="4" t="str">
        <f t="shared" si="100"/>
        <v>02</v>
      </c>
      <c r="F688" s="4" t="str">
        <f>"11"</f>
        <v>11</v>
      </c>
      <c r="G688" s="4" t="s">
        <v>27</v>
      </c>
      <c r="H688" s="5">
        <v>0</v>
      </c>
      <c r="I688" s="6" t="s">
        <v>13</v>
      </c>
      <c r="J688" s="4">
        <f>SUMPRODUCT(--((A688=$A$3:$A$2785)*$H$3:$H$2785&gt;H688))+1</f>
        <v>64</v>
      </c>
    </row>
    <row r="689" s="1" customFormat="true" customHeight="true" spans="1:10">
      <c r="A689" s="4" t="str">
        <f t="shared" si="99"/>
        <v>015</v>
      </c>
      <c r="B689" s="4" t="s">
        <v>26</v>
      </c>
      <c r="C689" s="4" t="str">
        <f>"滕雯童"</f>
        <v>滕雯童</v>
      </c>
      <c r="D689" s="4" t="str">
        <f>"2021020212"</f>
        <v>2021020212</v>
      </c>
      <c r="E689" s="4" t="str">
        <f t="shared" si="100"/>
        <v>02</v>
      </c>
      <c r="F689" s="4" t="str">
        <f>"12"</f>
        <v>12</v>
      </c>
      <c r="G689" s="4" t="s">
        <v>27</v>
      </c>
      <c r="H689" s="5">
        <v>0</v>
      </c>
      <c r="I689" s="6" t="s">
        <v>13</v>
      </c>
      <c r="J689" s="4">
        <f>SUMPRODUCT(--((A689=$A$3:$A$2785)*$H$3:$H$2785&gt;H689))+1</f>
        <v>64</v>
      </c>
    </row>
    <row r="690" s="1" customFormat="true" customHeight="true" spans="1:10">
      <c r="A690" s="4" t="str">
        <f t="shared" si="99"/>
        <v>015</v>
      </c>
      <c r="B690" s="4" t="s">
        <v>26</v>
      </c>
      <c r="C690" s="4" t="str">
        <f>"龙承彪"</f>
        <v>龙承彪</v>
      </c>
      <c r="D690" s="4" t="str">
        <f>"2021020216"</f>
        <v>2021020216</v>
      </c>
      <c r="E690" s="4" t="str">
        <f t="shared" si="100"/>
        <v>02</v>
      </c>
      <c r="F690" s="4" t="str">
        <f>"16"</f>
        <v>16</v>
      </c>
      <c r="G690" s="4" t="s">
        <v>27</v>
      </c>
      <c r="H690" s="5">
        <v>0</v>
      </c>
      <c r="I690" s="6" t="s">
        <v>13</v>
      </c>
      <c r="J690" s="4">
        <f>SUMPRODUCT(--((A690=$A$3:$A$2785)*$H$3:$H$2785&gt;H690))+1</f>
        <v>64</v>
      </c>
    </row>
    <row r="691" s="1" customFormat="true" customHeight="true" spans="1:10">
      <c r="A691" s="4" t="str">
        <f t="shared" si="99"/>
        <v>015</v>
      </c>
      <c r="B691" s="4" t="s">
        <v>26</v>
      </c>
      <c r="C691" s="4" t="str">
        <f>"李丽"</f>
        <v>李丽</v>
      </c>
      <c r="D691" s="4" t="str">
        <f>"2021020220"</f>
        <v>2021020220</v>
      </c>
      <c r="E691" s="4" t="str">
        <f t="shared" si="100"/>
        <v>02</v>
      </c>
      <c r="F691" s="4" t="str">
        <f>"20"</f>
        <v>20</v>
      </c>
      <c r="G691" s="4" t="s">
        <v>27</v>
      </c>
      <c r="H691" s="5">
        <v>0</v>
      </c>
      <c r="I691" s="6" t="s">
        <v>13</v>
      </c>
      <c r="J691" s="4">
        <f>SUMPRODUCT(--((A691=$A$3:$A$2785)*$H$3:$H$2785&gt;H691))+1</f>
        <v>64</v>
      </c>
    </row>
    <row r="692" s="1" customFormat="true" customHeight="true" spans="1:10">
      <c r="A692" s="4" t="str">
        <f t="shared" si="99"/>
        <v>015</v>
      </c>
      <c r="B692" s="4" t="s">
        <v>26</v>
      </c>
      <c r="C692" s="4" t="str">
        <f>"向家佳"</f>
        <v>向家佳</v>
      </c>
      <c r="D692" s="4" t="str">
        <f>"2021020226"</f>
        <v>2021020226</v>
      </c>
      <c r="E692" s="4" t="str">
        <f t="shared" si="100"/>
        <v>02</v>
      </c>
      <c r="F692" s="4" t="str">
        <f>"26"</f>
        <v>26</v>
      </c>
      <c r="G692" s="4" t="s">
        <v>27</v>
      </c>
      <c r="H692" s="5">
        <v>0</v>
      </c>
      <c r="I692" s="6" t="s">
        <v>13</v>
      </c>
      <c r="J692" s="4">
        <f>SUMPRODUCT(--((A692=$A$3:$A$2785)*$H$3:$H$2785&gt;H692))+1</f>
        <v>64</v>
      </c>
    </row>
    <row r="693" s="1" customFormat="true" customHeight="true" spans="1:10">
      <c r="A693" s="4" t="str">
        <f t="shared" si="99"/>
        <v>015</v>
      </c>
      <c r="B693" s="4" t="s">
        <v>26</v>
      </c>
      <c r="C693" s="4" t="str">
        <f>"陈晓倩"</f>
        <v>陈晓倩</v>
      </c>
      <c r="D693" s="4" t="str">
        <f>"2021020227"</f>
        <v>2021020227</v>
      </c>
      <c r="E693" s="4" t="str">
        <f t="shared" si="100"/>
        <v>02</v>
      </c>
      <c r="F693" s="4" t="str">
        <f>"27"</f>
        <v>27</v>
      </c>
      <c r="G693" s="4" t="s">
        <v>27</v>
      </c>
      <c r="H693" s="5">
        <v>0</v>
      </c>
      <c r="I693" s="6" t="s">
        <v>13</v>
      </c>
      <c r="J693" s="4">
        <f>SUMPRODUCT(--((A693=$A$3:$A$2785)*$H$3:$H$2785&gt;H693))+1</f>
        <v>64</v>
      </c>
    </row>
    <row r="694" s="1" customFormat="true" customHeight="true" spans="1:10">
      <c r="A694" s="4" t="str">
        <f t="shared" si="99"/>
        <v>015</v>
      </c>
      <c r="B694" s="4" t="s">
        <v>26</v>
      </c>
      <c r="C694" s="4" t="str">
        <f>"卓偲"</f>
        <v>卓偲</v>
      </c>
      <c r="D694" s="4" t="str">
        <f>"2021020229"</f>
        <v>2021020229</v>
      </c>
      <c r="E694" s="4" t="str">
        <f t="shared" si="100"/>
        <v>02</v>
      </c>
      <c r="F694" s="4" t="str">
        <f>"29"</f>
        <v>29</v>
      </c>
      <c r="G694" s="4" t="s">
        <v>27</v>
      </c>
      <c r="H694" s="5">
        <v>0</v>
      </c>
      <c r="I694" s="6" t="s">
        <v>13</v>
      </c>
      <c r="J694" s="4">
        <f>SUMPRODUCT(--((A694=$A$3:$A$2785)*$H$3:$H$2785&gt;H694))+1</f>
        <v>64</v>
      </c>
    </row>
    <row r="695" s="1" customFormat="true" customHeight="true" spans="1:10">
      <c r="A695" s="4" t="str">
        <f t="shared" si="99"/>
        <v>015</v>
      </c>
      <c r="B695" s="4" t="s">
        <v>26</v>
      </c>
      <c r="C695" s="4" t="str">
        <f>"姚岚"</f>
        <v>姚岚</v>
      </c>
      <c r="D695" s="4" t="str">
        <f>"2021020230"</f>
        <v>2021020230</v>
      </c>
      <c r="E695" s="4" t="str">
        <f t="shared" si="100"/>
        <v>02</v>
      </c>
      <c r="F695" s="4" t="str">
        <f>"30"</f>
        <v>30</v>
      </c>
      <c r="G695" s="4" t="s">
        <v>27</v>
      </c>
      <c r="H695" s="5">
        <v>0</v>
      </c>
      <c r="I695" s="6" t="s">
        <v>13</v>
      </c>
      <c r="J695" s="4">
        <f>SUMPRODUCT(--((A695=$A$3:$A$2785)*$H$3:$H$2785&gt;H695))+1</f>
        <v>64</v>
      </c>
    </row>
    <row r="696" s="1" customFormat="true" customHeight="true" spans="1:10">
      <c r="A696" s="4" t="str">
        <f t="shared" si="99"/>
        <v>015</v>
      </c>
      <c r="B696" s="4" t="s">
        <v>26</v>
      </c>
      <c r="C696" s="4" t="str">
        <f>"杨燕"</f>
        <v>杨燕</v>
      </c>
      <c r="D696" s="4" t="str">
        <f>"2021020302"</f>
        <v>2021020302</v>
      </c>
      <c r="E696" s="4" t="str">
        <f t="shared" ref="E696:E711" si="101">"03"</f>
        <v>03</v>
      </c>
      <c r="F696" s="4" t="str">
        <f>"02"</f>
        <v>02</v>
      </c>
      <c r="G696" s="4" t="s">
        <v>27</v>
      </c>
      <c r="H696" s="5">
        <v>0</v>
      </c>
      <c r="I696" s="6" t="s">
        <v>13</v>
      </c>
      <c r="J696" s="4">
        <f>SUMPRODUCT(--((A696=$A$3:$A$2785)*$H$3:$H$2785&gt;H696))+1</f>
        <v>64</v>
      </c>
    </row>
    <row r="697" s="1" customFormat="true" customHeight="true" spans="1:10">
      <c r="A697" s="4" t="str">
        <f t="shared" si="99"/>
        <v>015</v>
      </c>
      <c r="B697" s="4" t="s">
        <v>26</v>
      </c>
      <c r="C697" s="4" t="str">
        <f>"杨霞"</f>
        <v>杨霞</v>
      </c>
      <c r="D697" s="4" t="str">
        <f>"2021020303"</f>
        <v>2021020303</v>
      </c>
      <c r="E697" s="4" t="str">
        <f t="shared" si="101"/>
        <v>03</v>
      </c>
      <c r="F697" s="4" t="str">
        <f>"03"</f>
        <v>03</v>
      </c>
      <c r="G697" s="4" t="s">
        <v>27</v>
      </c>
      <c r="H697" s="5">
        <v>0</v>
      </c>
      <c r="I697" s="6" t="s">
        <v>13</v>
      </c>
      <c r="J697" s="4">
        <f>SUMPRODUCT(--((A697=$A$3:$A$2785)*$H$3:$H$2785&gt;H697))+1</f>
        <v>64</v>
      </c>
    </row>
    <row r="698" s="1" customFormat="true" customHeight="true" spans="1:10">
      <c r="A698" s="4" t="str">
        <f t="shared" si="99"/>
        <v>015</v>
      </c>
      <c r="B698" s="4" t="s">
        <v>26</v>
      </c>
      <c r="C698" s="4" t="str">
        <f>"李轩"</f>
        <v>李轩</v>
      </c>
      <c r="D698" s="4" t="str">
        <f>"2021020304"</f>
        <v>2021020304</v>
      </c>
      <c r="E698" s="4" t="str">
        <f t="shared" si="101"/>
        <v>03</v>
      </c>
      <c r="F698" s="4" t="str">
        <f>"04"</f>
        <v>04</v>
      </c>
      <c r="G698" s="4" t="s">
        <v>27</v>
      </c>
      <c r="H698" s="5">
        <v>0</v>
      </c>
      <c r="I698" s="6" t="s">
        <v>13</v>
      </c>
      <c r="J698" s="4">
        <f>SUMPRODUCT(--((A698=$A$3:$A$2785)*$H$3:$H$2785&gt;H698))+1</f>
        <v>64</v>
      </c>
    </row>
    <row r="699" s="1" customFormat="true" customHeight="true" spans="1:10">
      <c r="A699" s="4" t="str">
        <f t="shared" si="99"/>
        <v>015</v>
      </c>
      <c r="B699" s="4" t="s">
        <v>26</v>
      </c>
      <c r="C699" s="4" t="str">
        <f>"李凯晴"</f>
        <v>李凯晴</v>
      </c>
      <c r="D699" s="4" t="str">
        <f>"2021020305"</f>
        <v>2021020305</v>
      </c>
      <c r="E699" s="4" t="str">
        <f t="shared" si="101"/>
        <v>03</v>
      </c>
      <c r="F699" s="4" t="str">
        <f>"05"</f>
        <v>05</v>
      </c>
      <c r="G699" s="4" t="s">
        <v>27</v>
      </c>
      <c r="H699" s="5">
        <v>0</v>
      </c>
      <c r="I699" s="6" t="s">
        <v>13</v>
      </c>
      <c r="J699" s="4">
        <f>SUMPRODUCT(--((A699=$A$3:$A$2785)*$H$3:$H$2785&gt;H699))+1</f>
        <v>64</v>
      </c>
    </row>
    <row r="700" s="1" customFormat="true" customHeight="true" spans="1:10">
      <c r="A700" s="4" t="str">
        <f t="shared" si="99"/>
        <v>015</v>
      </c>
      <c r="B700" s="4" t="s">
        <v>26</v>
      </c>
      <c r="C700" s="4" t="str">
        <f>"杨健波"</f>
        <v>杨健波</v>
      </c>
      <c r="D700" s="4" t="str">
        <f>"2021020306"</f>
        <v>2021020306</v>
      </c>
      <c r="E700" s="4" t="str">
        <f t="shared" si="101"/>
        <v>03</v>
      </c>
      <c r="F700" s="4" t="str">
        <f>"06"</f>
        <v>06</v>
      </c>
      <c r="G700" s="4" t="s">
        <v>27</v>
      </c>
      <c r="H700" s="5">
        <v>0</v>
      </c>
      <c r="I700" s="6" t="s">
        <v>13</v>
      </c>
      <c r="J700" s="4">
        <f>SUMPRODUCT(--((A700=$A$3:$A$2785)*$H$3:$H$2785&gt;H700))+1</f>
        <v>64</v>
      </c>
    </row>
    <row r="701" s="1" customFormat="true" customHeight="true" spans="1:10">
      <c r="A701" s="4" t="str">
        <f t="shared" si="99"/>
        <v>015</v>
      </c>
      <c r="B701" s="4" t="s">
        <v>26</v>
      </c>
      <c r="C701" s="4" t="str">
        <f>"文娟娟"</f>
        <v>文娟娟</v>
      </c>
      <c r="D701" s="4" t="str">
        <f>"2021020310"</f>
        <v>2021020310</v>
      </c>
      <c r="E701" s="4" t="str">
        <f t="shared" si="101"/>
        <v>03</v>
      </c>
      <c r="F701" s="4" t="str">
        <f>"10"</f>
        <v>10</v>
      </c>
      <c r="G701" s="4" t="s">
        <v>27</v>
      </c>
      <c r="H701" s="5">
        <v>0</v>
      </c>
      <c r="I701" s="6" t="s">
        <v>13</v>
      </c>
      <c r="J701" s="4">
        <f>SUMPRODUCT(--((A701=$A$3:$A$2785)*$H$3:$H$2785&gt;H701))+1</f>
        <v>64</v>
      </c>
    </row>
    <row r="702" s="1" customFormat="true" customHeight="true" spans="1:10">
      <c r="A702" s="4" t="str">
        <f t="shared" si="99"/>
        <v>015</v>
      </c>
      <c r="B702" s="4" t="s">
        <v>26</v>
      </c>
      <c r="C702" s="4" t="str">
        <f>"舒倩媛"</f>
        <v>舒倩媛</v>
      </c>
      <c r="D702" s="4" t="str">
        <f>"2021020311"</f>
        <v>2021020311</v>
      </c>
      <c r="E702" s="4" t="str">
        <f t="shared" si="101"/>
        <v>03</v>
      </c>
      <c r="F702" s="4" t="str">
        <f>"11"</f>
        <v>11</v>
      </c>
      <c r="G702" s="4" t="s">
        <v>27</v>
      </c>
      <c r="H702" s="5">
        <v>0</v>
      </c>
      <c r="I702" s="6" t="s">
        <v>13</v>
      </c>
      <c r="J702" s="4">
        <f>SUMPRODUCT(--((A702=$A$3:$A$2785)*$H$3:$H$2785&gt;H702))+1</f>
        <v>64</v>
      </c>
    </row>
    <row r="703" s="1" customFormat="true" customHeight="true" spans="1:10">
      <c r="A703" s="4" t="str">
        <f t="shared" si="99"/>
        <v>015</v>
      </c>
      <c r="B703" s="4" t="s">
        <v>26</v>
      </c>
      <c r="C703" s="4" t="str">
        <f>"毛辉辉"</f>
        <v>毛辉辉</v>
      </c>
      <c r="D703" s="4" t="str">
        <f>"2021020312"</f>
        <v>2021020312</v>
      </c>
      <c r="E703" s="4" t="str">
        <f t="shared" si="101"/>
        <v>03</v>
      </c>
      <c r="F703" s="4" t="str">
        <f>"12"</f>
        <v>12</v>
      </c>
      <c r="G703" s="4" t="s">
        <v>27</v>
      </c>
      <c r="H703" s="5">
        <v>0</v>
      </c>
      <c r="I703" s="6" t="s">
        <v>13</v>
      </c>
      <c r="J703" s="4">
        <f>SUMPRODUCT(--((A703=$A$3:$A$2785)*$H$3:$H$2785&gt;H703))+1</f>
        <v>64</v>
      </c>
    </row>
    <row r="704" s="1" customFormat="true" customHeight="true" spans="1:10">
      <c r="A704" s="4" t="str">
        <f t="shared" si="99"/>
        <v>015</v>
      </c>
      <c r="B704" s="4" t="s">
        <v>26</v>
      </c>
      <c r="C704" s="4" t="str">
        <f>"贾坤华"</f>
        <v>贾坤华</v>
      </c>
      <c r="D704" s="4" t="str">
        <f>"2021020315"</f>
        <v>2021020315</v>
      </c>
      <c r="E704" s="4" t="str">
        <f t="shared" si="101"/>
        <v>03</v>
      </c>
      <c r="F704" s="4" t="str">
        <f>"15"</f>
        <v>15</v>
      </c>
      <c r="G704" s="4" t="s">
        <v>27</v>
      </c>
      <c r="H704" s="5">
        <v>0</v>
      </c>
      <c r="I704" s="6" t="s">
        <v>13</v>
      </c>
      <c r="J704" s="4">
        <f>SUMPRODUCT(--((A704=$A$3:$A$2785)*$H$3:$H$2785&gt;H704))+1</f>
        <v>64</v>
      </c>
    </row>
    <row r="705" s="1" customFormat="true" customHeight="true" spans="1:10">
      <c r="A705" s="4" t="str">
        <f t="shared" si="99"/>
        <v>015</v>
      </c>
      <c r="B705" s="4" t="s">
        <v>26</v>
      </c>
      <c r="C705" s="4" t="str">
        <f>"段世龙"</f>
        <v>段世龙</v>
      </c>
      <c r="D705" s="4" t="str">
        <f>"2021020318"</f>
        <v>2021020318</v>
      </c>
      <c r="E705" s="4" t="str">
        <f t="shared" si="101"/>
        <v>03</v>
      </c>
      <c r="F705" s="4" t="str">
        <f>"18"</f>
        <v>18</v>
      </c>
      <c r="G705" s="4" t="s">
        <v>27</v>
      </c>
      <c r="H705" s="5">
        <v>0</v>
      </c>
      <c r="I705" s="6" t="s">
        <v>13</v>
      </c>
      <c r="J705" s="4">
        <f>SUMPRODUCT(--((A705=$A$3:$A$2785)*$H$3:$H$2785&gt;H705))+1</f>
        <v>64</v>
      </c>
    </row>
    <row r="706" s="1" customFormat="true" customHeight="true" spans="1:10">
      <c r="A706" s="4" t="str">
        <f t="shared" si="99"/>
        <v>015</v>
      </c>
      <c r="B706" s="4" t="s">
        <v>26</v>
      </c>
      <c r="C706" s="4" t="str">
        <f>"杨苏峡"</f>
        <v>杨苏峡</v>
      </c>
      <c r="D706" s="4" t="str">
        <f>"2021020319"</f>
        <v>2021020319</v>
      </c>
      <c r="E706" s="4" t="str">
        <f t="shared" si="101"/>
        <v>03</v>
      </c>
      <c r="F706" s="4" t="str">
        <f>"19"</f>
        <v>19</v>
      </c>
      <c r="G706" s="4" t="s">
        <v>27</v>
      </c>
      <c r="H706" s="5">
        <v>0</v>
      </c>
      <c r="I706" s="6" t="s">
        <v>13</v>
      </c>
      <c r="J706" s="4">
        <f>SUMPRODUCT(--((A706=$A$3:$A$2785)*$H$3:$H$2785&gt;H706))+1</f>
        <v>64</v>
      </c>
    </row>
    <row r="707" s="1" customFormat="true" customHeight="true" spans="1:10">
      <c r="A707" s="4" t="str">
        <f t="shared" si="99"/>
        <v>015</v>
      </c>
      <c r="B707" s="4" t="s">
        <v>26</v>
      </c>
      <c r="C707" s="4" t="str">
        <f>"张宇"</f>
        <v>张宇</v>
      </c>
      <c r="D707" s="4" t="str">
        <f>"2021020320"</f>
        <v>2021020320</v>
      </c>
      <c r="E707" s="4" t="str">
        <f t="shared" si="101"/>
        <v>03</v>
      </c>
      <c r="F707" s="4" t="str">
        <f>"20"</f>
        <v>20</v>
      </c>
      <c r="G707" s="4" t="s">
        <v>27</v>
      </c>
      <c r="H707" s="5">
        <v>0</v>
      </c>
      <c r="I707" s="6" t="s">
        <v>13</v>
      </c>
      <c r="J707" s="4">
        <f>SUMPRODUCT(--((A707=$A$3:$A$2785)*$H$3:$H$2785&gt;H707))+1</f>
        <v>64</v>
      </c>
    </row>
    <row r="708" s="1" customFormat="true" customHeight="true" spans="1:10">
      <c r="A708" s="4" t="str">
        <f t="shared" si="99"/>
        <v>015</v>
      </c>
      <c r="B708" s="4" t="s">
        <v>26</v>
      </c>
      <c r="C708" s="4" t="str">
        <f>"李知慧"</f>
        <v>李知慧</v>
      </c>
      <c r="D708" s="4" t="str">
        <f>"2021020321"</f>
        <v>2021020321</v>
      </c>
      <c r="E708" s="4" t="str">
        <f t="shared" si="101"/>
        <v>03</v>
      </c>
      <c r="F708" s="4" t="str">
        <f>"21"</f>
        <v>21</v>
      </c>
      <c r="G708" s="4" t="s">
        <v>27</v>
      </c>
      <c r="H708" s="5">
        <v>0</v>
      </c>
      <c r="I708" s="6" t="s">
        <v>13</v>
      </c>
      <c r="J708" s="4">
        <f>SUMPRODUCT(--((A708=$A$3:$A$2785)*$H$3:$H$2785&gt;H708))+1</f>
        <v>64</v>
      </c>
    </row>
    <row r="709" s="1" customFormat="true" customHeight="true" spans="1:10">
      <c r="A709" s="4" t="str">
        <f t="shared" si="99"/>
        <v>015</v>
      </c>
      <c r="B709" s="4" t="s">
        <v>26</v>
      </c>
      <c r="C709" s="4" t="str">
        <f>"李慧"</f>
        <v>李慧</v>
      </c>
      <c r="D709" s="4" t="str">
        <f>"2021020322"</f>
        <v>2021020322</v>
      </c>
      <c r="E709" s="4" t="str">
        <f t="shared" si="101"/>
        <v>03</v>
      </c>
      <c r="F709" s="4" t="str">
        <f>"22"</f>
        <v>22</v>
      </c>
      <c r="G709" s="4" t="s">
        <v>27</v>
      </c>
      <c r="H709" s="5">
        <v>0</v>
      </c>
      <c r="I709" s="6" t="s">
        <v>13</v>
      </c>
      <c r="J709" s="4">
        <f>SUMPRODUCT(--((A709=$A$3:$A$2785)*$H$3:$H$2785&gt;H709))+1</f>
        <v>64</v>
      </c>
    </row>
    <row r="710" s="1" customFormat="true" customHeight="true" spans="1:10">
      <c r="A710" s="4" t="str">
        <f t="shared" si="99"/>
        <v>015</v>
      </c>
      <c r="B710" s="4" t="s">
        <v>26</v>
      </c>
      <c r="C710" s="4" t="str">
        <f>"吴敏瑄"</f>
        <v>吴敏瑄</v>
      </c>
      <c r="D710" s="4" t="str">
        <f>"2021020324"</f>
        <v>2021020324</v>
      </c>
      <c r="E710" s="4" t="str">
        <f t="shared" si="101"/>
        <v>03</v>
      </c>
      <c r="F710" s="4" t="str">
        <f>"24"</f>
        <v>24</v>
      </c>
      <c r="G710" s="4" t="s">
        <v>27</v>
      </c>
      <c r="H710" s="5">
        <v>0</v>
      </c>
      <c r="I710" s="6" t="s">
        <v>13</v>
      </c>
      <c r="J710" s="4">
        <f>SUMPRODUCT(--((A710=$A$3:$A$2785)*$H$3:$H$2785&gt;H710))+1</f>
        <v>64</v>
      </c>
    </row>
    <row r="711" s="1" customFormat="true" customHeight="true" spans="1:10">
      <c r="A711" s="4" t="str">
        <f t="shared" si="99"/>
        <v>015</v>
      </c>
      <c r="B711" s="4" t="s">
        <v>26</v>
      </c>
      <c r="C711" s="4" t="str">
        <f>"潘洁梅"</f>
        <v>潘洁梅</v>
      </c>
      <c r="D711" s="4" t="str">
        <f>"2021020325"</f>
        <v>2021020325</v>
      </c>
      <c r="E711" s="4" t="str">
        <f t="shared" si="101"/>
        <v>03</v>
      </c>
      <c r="F711" s="4" t="str">
        <f>"25"</f>
        <v>25</v>
      </c>
      <c r="G711" s="4" t="s">
        <v>27</v>
      </c>
      <c r="H711" s="5">
        <v>0</v>
      </c>
      <c r="I711" s="6" t="s">
        <v>13</v>
      </c>
      <c r="J711" s="4">
        <f>SUMPRODUCT(--((A711=$A$3:$A$2785)*$H$3:$H$2785&gt;H711))+1</f>
        <v>64</v>
      </c>
    </row>
    <row r="712" s="1" customFormat="true" customHeight="true" spans="1:10">
      <c r="A712" s="4" t="str">
        <f t="shared" si="99"/>
        <v>015</v>
      </c>
      <c r="B712" s="4" t="s">
        <v>26</v>
      </c>
      <c r="C712" s="4" t="str">
        <f>"漆港宁"</f>
        <v>漆港宁</v>
      </c>
      <c r="D712" s="4" t="str">
        <f>"2021020405"</f>
        <v>2021020405</v>
      </c>
      <c r="E712" s="4" t="str">
        <f t="shared" ref="E712:E725" si="102">"04"</f>
        <v>04</v>
      </c>
      <c r="F712" s="4" t="str">
        <f>"05"</f>
        <v>05</v>
      </c>
      <c r="G712" s="4" t="s">
        <v>27</v>
      </c>
      <c r="H712" s="5">
        <v>0</v>
      </c>
      <c r="I712" s="6" t="s">
        <v>13</v>
      </c>
      <c r="J712" s="4">
        <f>SUMPRODUCT(--((A712=$A$3:$A$2785)*$H$3:$H$2785&gt;H712))+1</f>
        <v>64</v>
      </c>
    </row>
    <row r="713" s="1" customFormat="true" customHeight="true" spans="1:10">
      <c r="A713" s="4" t="str">
        <f t="shared" si="99"/>
        <v>015</v>
      </c>
      <c r="B713" s="4" t="s">
        <v>26</v>
      </c>
      <c r="C713" s="4" t="str">
        <f>"胡南"</f>
        <v>胡南</v>
      </c>
      <c r="D713" s="4" t="str">
        <f>"2021020407"</f>
        <v>2021020407</v>
      </c>
      <c r="E713" s="4" t="str">
        <f t="shared" si="102"/>
        <v>04</v>
      </c>
      <c r="F713" s="4" t="str">
        <f>"07"</f>
        <v>07</v>
      </c>
      <c r="G713" s="4" t="s">
        <v>27</v>
      </c>
      <c r="H713" s="5">
        <v>0</v>
      </c>
      <c r="I713" s="6" t="s">
        <v>13</v>
      </c>
      <c r="J713" s="4">
        <f>SUMPRODUCT(--((A713=$A$3:$A$2785)*$H$3:$H$2785&gt;H713))+1</f>
        <v>64</v>
      </c>
    </row>
    <row r="714" s="1" customFormat="true" customHeight="true" spans="1:10">
      <c r="A714" s="4" t="str">
        <f t="shared" si="99"/>
        <v>015</v>
      </c>
      <c r="B714" s="4" t="s">
        <v>26</v>
      </c>
      <c r="C714" s="4" t="str">
        <f>"文龙"</f>
        <v>文龙</v>
      </c>
      <c r="D714" s="4" t="str">
        <f>"2021020408"</f>
        <v>2021020408</v>
      </c>
      <c r="E714" s="4" t="str">
        <f t="shared" si="102"/>
        <v>04</v>
      </c>
      <c r="F714" s="4" t="str">
        <f>"08"</f>
        <v>08</v>
      </c>
      <c r="G714" s="4" t="s">
        <v>27</v>
      </c>
      <c r="H714" s="5">
        <v>0</v>
      </c>
      <c r="I714" s="6" t="s">
        <v>13</v>
      </c>
      <c r="J714" s="4">
        <f>SUMPRODUCT(--((A714=$A$3:$A$2785)*$H$3:$H$2785&gt;H714))+1</f>
        <v>64</v>
      </c>
    </row>
    <row r="715" s="1" customFormat="true" customHeight="true" spans="1:10">
      <c r="A715" s="4" t="str">
        <f t="shared" si="99"/>
        <v>015</v>
      </c>
      <c r="B715" s="4" t="s">
        <v>26</v>
      </c>
      <c r="C715" s="4" t="str">
        <f>"梁田"</f>
        <v>梁田</v>
      </c>
      <c r="D715" s="4" t="str">
        <f>"2021020409"</f>
        <v>2021020409</v>
      </c>
      <c r="E715" s="4" t="str">
        <f t="shared" si="102"/>
        <v>04</v>
      </c>
      <c r="F715" s="4" t="str">
        <f>"09"</f>
        <v>09</v>
      </c>
      <c r="G715" s="4" t="s">
        <v>27</v>
      </c>
      <c r="H715" s="5">
        <v>0</v>
      </c>
      <c r="I715" s="6" t="s">
        <v>13</v>
      </c>
      <c r="J715" s="4">
        <f>SUMPRODUCT(--((A715=$A$3:$A$2785)*$H$3:$H$2785&gt;H715))+1</f>
        <v>64</v>
      </c>
    </row>
    <row r="716" s="1" customFormat="true" customHeight="true" spans="1:10">
      <c r="A716" s="4" t="str">
        <f t="shared" si="99"/>
        <v>015</v>
      </c>
      <c r="B716" s="4" t="s">
        <v>26</v>
      </c>
      <c r="C716" s="4" t="str">
        <f>"龙梦姣"</f>
        <v>龙梦姣</v>
      </c>
      <c r="D716" s="4" t="str">
        <f>"2021020411"</f>
        <v>2021020411</v>
      </c>
      <c r="E716" s="4" t="str">
        <f t="shared" si="102"/>
        <v>04</v>
      </c>
      <c r="F716" s="4" t="str">
        <f>"11"</f>
        <v>11</v>
      </c>
      <c r="G716" s="4" t="s">
        <v>27</v>
      </c>
      <c r="H716" s="5">
        <v>0</v>
      </c>
      <c r="I716" s="6" t="s">
        <v>13</v>
      </c>
      <c r="J716" s="4">
        <f>SUMPRODUCT(--((A716=$A$3:$A$2785)*$H$3:$H$2785&gt;H716))+1</f>
        <v>64</v>
      </c>
    </row>
    <row r="717" s="1" customFormat="true" customHeight="true" spans="1:10">
      <c r="A717" s="4" t="str">
        <f t="shared" si="99"/>
        <v>015</v>
      </c>
      <c r="B717" s="4" t="s">
        <v>26</v>
      </c>
      <c r="C717" s="4" t="str">
        <f>"杨慧"</f>
        <v>杨慧</v>
      </c>
      <c r="D717" s="4" t="str">
        <f>"2021020415"</f>
        <v>2021020415</v>
      </c>
      <c r="E717" s="4" t="str">
        <f t="shared" si="102"/>
        <v>04</v>
      </c>
      <c r="F717" s="4" t="str">
        <f>"15"</f>
        <v>15</v>
      </c>
      <c r="G717" s="4" t="s">
        <v>27</v>
      </c>
      <c r="H717" s="5">
        <v>0</v>
      </c>
      <c r="I717" s="6" t="s">
        <v>13</v>
      </c>
      <c r="J717" s="4">
        <f>SUMPRODUCT(--((A717=$A$3:$A$2785)*$H$3:$H$2785&gt;H717))+1</f>
        <v>64</v>
      </c>
    </row>
    <row r="718" s="1" customFormat="true" customHeight="true" spans="1:10">
      <c r="A718" s="4" t="str">
        <f t="shared" si="99"/>
        <v>015</v>
      </c>
      <c r="B718" s="4" t="s">
        <v>26</v>
      </c>
      <c r="C718" s="4" t="str">
        <f>"滕思洁"</f>
        <v>滕思洁</v>
      </c>
      <c r="D718" s="4" t="str">
        <f>"2021020417"</f>
        <v>2021020417</v>
      </c>
      <c r="E718" s="4" t="str">
        <f t="shared" si="102"/>
        <v>04</v>
      </c>
      <c r="F718" s="4" t="str">
        <f>"17"</f>
        <v>17</v>
      </c>
      <c r="G718" s="4" t="s">
        <v>27</v>
      </c>
      <c r="H718" s="5">
        <v>0</v>
      </c>
      <c r="I718" s="6" t="s">
        <v>13</v>
      </c>
      <c r="J718" s="4">
        <f>SUMPRODUCT(--((A718=$A$3:$A$2785)*$H$3:$H$2785&gt;H718))+1</f>
        <v>64</v>
      </c>
    </row>
    <row r="719" s="1" customFormat="true" customHeight="true" spans="1:10">
      <c r="A719" s="4" t="str">
        <f t="shared" si="99"/>
        <v>015</v>
      </c>
      <c r="B719" s="4" t="s">
        <v>26</v>
      </c>
      <c r="C719" s="4" t="str">
        <f>"龚云霞"</f>
        <v>龚云霞</v>
      </c>
      <c r="D719" s="4" t="str">
        <f>"2021020418"</f>
        <v>2021020418</v>
      </c>
      <c r="E719" s="4" t="str">
        <f t="shared" si="102"/>
        <v>04</v>
      </c>
      <c r="F719" s="4" t="str">
        <f>"18"</f>
        <v>18</v>
      </c>
      <c r="G719" s="4" t="s">
        <v>27</v>
      </c>
      <c r="H719" s="5">
        <v>0</v>
      </c>
      <c r="I719" s="6" t="s">
        <v>13</v>
      </c>
      <c r="J719" s="4">
        <f>SUMPRODUCT(--((A719=$A$3:$A$2785)*$H$3:$H$2785&gt;H719))+1</f>
        <v>64</v>
      </c>
    </row>
    <row r="720" s="1" customFormat="true" customHeight="true" spans="1:10">
      <c r="A720" s="4" t="str">
        <f t="shared" si="99"/>
        <v>015</v>
      </c>
      <c r="B720" s="4" t="s">
        <v>26</v>
      </c>
      <c r="C720" s="4" t="str">
        <f>"陈恒"</f>
        <v>陈恒</v>
      </c>
      <c r="D720" s="4" t="str">
        <f>"2021020419"</f>
        <v>2021020419</v>
      </c>
      <c r="E720" s="4" t="str">
        <f t="shared" si="102"/>
        <v>04</v>
      </c>
      <c r="F720" s="4" t="str">
        <f>"19"</f>
        <v>19</v>
      </c>
      <c r="G720" s="4" t="s">
        <v>27</v>
      </c>
      <c r="H720" s="5">
        <v>0</v>
      </c>
      <c r="I720" s="6" t="s">
        <v>13</v>
      </c>
      <c r="J720" s="4">
        <f>SUMPRODUCT(--((A720=$A$3:$A$2785)*$H$3:$H$2785&gt;H720))+1</f>
        <v>64</v>
      </c>
    </row>
    <row r="721" s="1" customFormat="true" customHeight="true" spans="1:10">
      <c r="A721" s="4" t="str">
        <f t="shared" si="99"/>
        <v>015</v>
      </c>
      <c r="B721" s="4" t="s">
        <v>26</v>
      </c>
      <c r="C721" s="4" t="str">
        <f>"欧洁"</f>
        <v>欧洁</v>
      </c>
      <c r="D721" s="4" t="str">
        <f>"2021020420"</f>
        <v>2021020420</v>
      </c>
      <c r="E721" s="4" t="str">
        <f t="shared" si="102"/>
        <v>04</v>
      </c>
      <c r="F721" s="4" t="str">
        <f>"20"</f>
        <v>20</v>
      </c>
      <c r="G721" s="4" t="s">
        <v>27</v>
      </c>
      <c r="H721" s="5">
        <v>0</v>
      </c>
      <c r="I721" s="6" t="s">
        <v>13</v>
      </c>
      <c r="J721" s="4">
        <f>SUMPRODUCT(--((A721=$A$3:$A$2785)*$H$3:$H$2785&gt;H721))+1</f>
        <v>64</v>
      </c>
    </row>
    <row r="722" s="1" customFormat="true" customHeight="true" spans="1:10">
      <c r="A722" s="4" t="str">
        <f t="shared" si="99"/>
        <v>015</v>
      </c>
      <c r="B722" s="4" t="s">
        <v>26</v>
      </c>
      <c r="C722" s="4" t="str">
        <f>"吴杨凯"</f>
        <v>吴杨凯</v>
      </c>
      <c r="D722" s="4" t="str">
        <f>"2021020423"</f>
        <v>2021020423</v>
      </c>
      <c r="E722" s="4" t="str">
        <f t="shared" si="102"/>
        <v>04</v>
      </c>
      <c r="F722" s="4" t="str">
        <f>"23"</f>
        <v>23</v>
      </c>
      <c r="G722" s="4" t="s">
        <v>27</v>
      </c>
      <c r="H722" s="5">
        <v>0</v>
      </c>
      <c r="I722" s="6" t="s">
        <v>13</v>
      </c>
      <c r="J722" s="4">
        <f>SUMPRODUCT(--((A722=$A$3:$A$2785)*$H$3:$H$2785&gt;H722))+1</f>
        <v>64</v>
      </c>
    </row>
    <row r="723" s="1" customFormat="true" customHeight="true" spans="1:10">
      <c r="A723" s="4" t="str">
        <f t="shared" si="99"/>
        <v>015</v>
      </c>
      <c r="B723" s="4" t="s">
        <v>26</v>
      </c>
      <c r="C723" s="4" t="str">
        <f>"向叶"</f>
        <v>向叶</v>
      </c>
      <c r="D723" s="4" t="str">
        <f>"2021020427"</f>
        <v>2021020427</v>
      </c>
      <c r="E723" s="4" t="str">
        <f t="shared" si="102"/>
        <v>04</v>
      </c>
      <c r="F723" s="4" t="str">
        <f>"27"</f>
        <v>27</v>
      </c>
      <c r="G723" s="4" t="s">
        <v>27</v>
      </c>
      <c r="H723" s="5">
        <v>0</v>
      </c>
      <c r="I723" s="6" t="s">
        <v>13</v>
      </c>
      <c r="J723" s="4">
        <f>SUMPRODUCT(--((A723=$A$3:$A$2785)*$H$3:$H$2785&gt;H723))+1</f>
        <v>64</v>
      </c>
    </row>
    <row r="724" s="1" customFormat="true" customHeight="true" spans="1:10">
      <c r="A724" s="4" t="str">
        <f t="shared" si="99"/>
        <v>015</v>
      </c>
      <c r="B724" s="4" t="s">
        <v>26</v>
      </c>
      <c r="C724" s="4" t="str">
        <f>"蒋思"</f>
        <v>蒋思</v>
      </c>
      <c r="D724" s="4" t="str">
        <f>"2021020428"</f>
        <v>2021020428</v>
      </c>
      <c r="E724" s="4" t="str">
        <f t="shared" si="102"/>
        <v>04</v>
      </c>
      <c r="F724" s="4" t="str">
        <f>"28"</f>
        <v>28</v>
      </c>
      <c r="G724" s="4" t="s">
        <v>27</v>
      </c>
      <c r="H724" s="5">
        <v>0</v>
      </c>
      <c r="I724" s="6" t="s">
        <v>13</v>
      </c>
      <c r="J724" s="4">
        <f>SUMPRODUCT(--((A724=$A$3:$A$2785)*$H$3:$H$2785&gt;H724))+1</f>
        <v>64</v>
      </c>
    </row>
    <row r="725" s="1" customFormat="true" customHeight="true" spans="1:10">
      <c r="A725" s="4" t="str">
        <f t="shared" si="99"/>
        <v>015</v>
      </c>
      <c r="B725" s="4" t="s">
        <v>26</v>
      </c>
      <c r="C725" s="4" t="str">
        <f>"郭棋"</f>
        <v>郭棋</v>
      </c>
      <c r="D725" s="4" t="str">
        <f>"2021020430"</f>
        <v>2021020430</v>
      </c>
      <c r="E725" s="4" t="str">
        <f t="shared" si="102"/>
        <v>04</v>
      </c>
      <c r="F725" s="4" t="str">
        <f>"30"</f>
        <v>30</v>
      </c>
      <c r="G725" s="4" t="s">
        <v>27</v>
      </c>
      <c r="H725" s="5">
        <v>0</v>
      </c>
      <c r="I725" s="6" t="s">
        <v>13</v>
      </c>
      <c r="J725" s="4">
        <f>SUMPRODUCT(--((A725=$A$3:$A$2785)*$H$3:$H$2785&gt;H725))+1</f>
        <v>64</v>
      </c>
    </row>
    <row r="726" s="1" customFormat="true" customHeight="true" spans="1:10">
      <c r="A726" s="4" t="str">
        <f t="shared" si="99"/>
        <v>015</v>
      </c>
      <c r="B726" s="4" t="s">
        <v>26</v>
      </c>
      <c r="C726" s="4" t="str">
        <f>"付小霞"</f>
        <v>付小霞</v>
      </c>
      <c r="D726" s="4" t="str">
        <f>"2021020502"</f>
        <v>2021020502</v>
      </c>
      <c r="E726" s="4" t="str">
        <f t="shared" ref="E726:E729" si="103">"05"</f>
        <v>05</v>
      </c>
      <c r="F726" s="4" t="str">
        <f>"02"</f>
        <v>02</v>
      </c>
      <c r="G726" s="4" t="s">
        <v>27</v>
      </c>
      <c r="H726" s="5">
        <v>0</v>
      </c>
      <c r="I726" s="6" t="s">
        <v>13</v>
      </c>
      <c r="J726" s="4">
        <f>SUMPRODUCT(--((A726=$A$3:$A$2785)*$H$3:$H$2785&gt;H726))+1</f>
        <v>64</v>
      </c>
    </row>
    <row r="727" s="1" customFormat="true" customHeight="true" spans="1:10">
      <c r="A727" s="4" t="str">
        <f t="shared" si="99"/>
        <v>015</v>
      </c>
      <c r="B727" s="4" t="s">
        <v>26</v>
      </c>
      <c r="C727" s="4" t="str">
        <f>"向盼"</f>
        <v>向盼</v>
      </c>
      <c r="D727" s="4" t="str">
        <f>"2021020504"</f>
        <v>2021020504</v>
      </c>
      <c r="E727" s="4" t="str">
        <f t="shared" si="103"/>
        <v>05</v>
      </c>
      <c r="F727" s="4" t="str">
        <f>"04"</f>
        <v>04</v>
      </c>
      <c r="G727" s="4" t="s">
        <v>27</v>
      </c>
      <c r="H727" s="5">
        <v>0</v>
      </c>
      <c r="I727" s="6" t="s">
        <v>13</v>
      </c>
      <c r="J727" s="4">
        <f>SUMPRODUCT(--((A727=$A$3:$A$2785)*$H$3:$H$2785&gt;H727))+1</f>
        <v>64</v>
      </c>
    </row>
    <row r="728" s="1" customFormat="true" customHeight="true" spans="1:10">
      <c r="A728" s="4" t="str">
        <f t="shared" si="99"/>
        <v>015</v>
      </c>
      <c r="B728" s="4" t="s">
        <v>26</v>
      </c>
      <c r="C728" s="4" t="str">
        <f>"麻蔷微"</f>
        <v>麻蔷微</v>
      </c>
      <c r="D728" s="4" t="str">
        <f>"2021020506"</f>
        <v>2021020506</v>
      </c>
      <c r="E728" s="4" t="str">
        <f t="shared" si="103"/>
        <v>05</v>
      </c>
      <c r="F728" s="4" t="str">
        <f>"06"</f>
        <v>06</v>
      </c>
      <c r="G728" s="4" t="s">
        <v>27</v>
      </c>
      <c r="H728" s="5">
        <v>0</v>
      </c>
      <c r="I728" s="6" t="s">
        <v>13</v>
      </c>
      <c r="J728" s="4">
        <f>SUMPRODUCT(--((A728=$A$3:$A$2785)*$H$3:$H$2785&gt;H728))+1</f>
        <v>64</v>
      </c>
    </row>
    <row r="729" s="1" customFormat="true" customHeight="true" spans="1:10">
      <c r="A729" s="4" t="str">
        <f t="shared" si="99"/>
        <v>015</v>
      </c>
      <c r="B729" s="4" t="s">
        <v>26</v>
      </c>
      <c r="C729" s="4" t="str">
        <f>"田昆"</f>
        <v>田昆</v>
      </c>
      <c r="D729" s="4" t="str">
        <f>"2021020507"</f>
        <v>2021020507</v>
      </c>
      <c r="E729" s="4" t="str">
        <f t="shared" si="103"/>
        <v>05</v>
      </c>
      <c r="F729" s="4" t="str">
        <f>"07"</f>
        <v>07</v>
      </c>
      <c r="G729" s="4" t="s">
        <v>27</v>
      </c>
      <c r="H729" s="5">
        <v>0</v>
      </c>
      <c r="I729" s="6" t="s">
        <v>13</v>
      </c>
      <c r="J729" s="4">
        <f>SUMPRODUCT(--((A729=$A$3:$A$2785)*$H$3:$H$2785&gt;H729))+1</f>
        <v>64</v>
      </c>
    </row>
    <row r="730" s="1" customFormat="true" customHeight="true" spans="1:10">
      <c r="A730" s="4" t="str">
        <f t="shared" ref="A730:A742" si="104">"016"</f>
        <v>016</v>
      </c>
      <c r="B730" s="4" t="s">
        <v>28</v>
      </c>
      <c r="C730" s="4" t="str">
        <f>"张建旭"</f>
        <v>张建旭</v>
      </c>
      <c r="D730" s="4" t="str">
        <f>"2021020910"</f>
        <v>2021020910</v>
      </c>
      <c r="E730" s="4" t="str">
        <f t="shared" ref="E730:E742" si="105">"09"</f>
        <v>09</v>
      </c>
      <c r="F730" s="4" t="str">
        <f>"10"</f>
        <v>10</v>
      </c>
      <c r="G730" s="4" t="s">
        <v>27</v>
      </c>
      <c r="H730" s="5">
        <v>56.25</v>
      </c>
      <c r="I730" s="4"/>
      <c r="J730" s="4">
        <f>SUMPRODUCT(--((A730=$A$3:$A$2785)*$H$3:$H$2785&gt;H730))+1</f>
        <v>1</v>
      </c>
    </row>
    <row r="731" s="1" customFormat="true" customHeight="true" spans="1:10">
      <c r="A731" s="4" t="str">
        <f t="shared" si="104"/>
        <v>016</v>
      </c>
      <c r="B731" s="4" t="s">
        <v>28</v>
      </c>
      <c r="C731" s="4" t="str">
        <f>"向玉葵"</f>
        <v>向玉葵</v>
      </c>
      <c r="D731" s="4" t="str">
        <f>"2021020907"</f>
        <v>2021020907</v>
      </c>
      <c r="E731" s="4" t="str">
        <f t="shared" si="105"/>
        <v>09</v>
      </c>
      <c r="F731" s="4" t="str">
        <f>"07"</f>
        <v>07</v>
      </c>
      <c r="G731" s="4" t="s">
        <v>27</v>
      </c>
      <c r="H731" s="5">
        <v>51.65</v>
      </c>
      <c r="I731" s="4"/>
      <c r="J731" s="4">
        <f>SUMPRODUCT(--((A731=$A$3:$A$2785)*$H$3:$H$2785&gt;H731))+1</f>
        <v>2</v>
      </c>
    </row>
    <row r="732" s="1" customFormat="true" customHeight="true" spans="1:10">
      <c r="A732" s="4" t="str">
        <f t="shared" si="104"/>
        <v>016</v>
      </c>
      <c r="B732" s="4" t="s">
        <v>28</v>
      </c>
      <c r="C732" s="4" t="str">
        <f>"邓庭威"</f>
        <v>邓庭威</v>
      </c>
      <c r="D732" s="4" t="str">
        <f>"2021020902"</f>
        <v>2021020902</v>
      </c>
      <c r="E732" s="4" t="str">
        <f t="shared" si="105"/>
        <v>09</v>
      </c>
      <c r="F732" s="4" t="str">
        <f>"02"</f>
        <v>02</v>
      </c>
      <c r="G732" s="4" t="s">
        <v>27</v>
      </c>
      <c r="H732" s="5">
        <v>0</v>
      </c>
      <c r="I732" s="6" t="s">
        <v>13</v>
      </c>
      <c r="J732" s="4">
        <f>SUMPRODUCT(--((A732=$A$3:$A$2785)*$H$3:$H$2785&gt;H732))+1</f>
        <v>3</v>
      </c>
    </row>
    <row r="733" s="1" customFormat="true" customHeight="true" spans="1:10">
      <c r="A733" s="4" t="str">
        <f t="shared" si="104"/>
        <v>016</v>
      </c>
      <c r="B733" s="4" t="s">
        <v>28</v>
      </c>
      <c r="C733" s="4" t="str">
        <f>"宋建"</f>
        <v>宋建</v>
      </c>
      <c r="D733" s="4" t="str">
        <f>"2021020903"</f>
        <v>2021020903</v>
      </c>
      <c r="E733" s="4" t="str">
        <f t="shared" si="105"/>
        <v>09</v>
      </c>
      <c r="F733" s="4" t="str">
        <f>"03"</f>
        <v>03</v>
      </c>
      <c r="G733" s="4" t="s">
        <v>27</v>
      </c>
      <c r="H733" s="5">
        <v>0</v>
      </c>
      <c r="I733" s="6" t="s">
        <v>13</v>
      </c>
      <c r="J733" s="4">
        <f>SUMPRODUCT(--((A733=$A$3:$A$2785)*$H$3:$H$2785&gt;H733))+1</f>
        <v>3</v>
      </c>
    </row>
    <row r="734" s="1" customFormat="true" customHeight="true" spans="1:10">
      <c r="A734" s="4" t="str">
        <f t="shared" si="104"/>
        <v>016</v>
      </c>
      <c r="B734" s="4" t="s">
        <v>28</v>
      </c>
      <c r="C734" s="4" t="str">
        <f>"林子钦"</f>
        <v>林子钦</v>
      </c>
      <c r="D734" s="4" t="str">
        <f>"2021020904"</f>
        <v>2021020904</v>
      </c>
      <c r="E734" s="4" t="str">
        <f t="shared" si="105"/>
        <v>09</v>
      </c>
      <c r="F734" s="4" t="str">
        <f>"04"</f>
        <v>04</v>
      </c>
      <c r="G734" s="4" t="s">
        <v>27</v>
      </c>
      <c r="H734" s="5">
        <v>0</v>
      </c>
      <c r="I734" s="6" t="s">
        <v>13</v>
      </c>
      <c r="J734" s="4">
        <f>SUMPRODUCT(--((A734=$A$3:$A$2785)*$H$3:$H$2785&gt;H734))+1</f>
        <v>3</v>
      </c>
    </row>
    <row r="735" s="1" customFormat="true" customHeight="true" spans="1:10">
      <c r="A735" s="4" t="str">
        <f t="shared" si="104"/>
        <v>016</v>
      </c>
      <c r="B735" s="4" t="s">
        <v>28</v>
      </c>
      <c r="C735" s="4" t="str">
        <f>"夏海飞"</f>
        <v>夏海飞</v>
      </c>
      <c r="D735" s="4" t="str">
        <f>"2021020905"</f>
        <v>2021020905</v>
      </c>
      <c r="E735" s="4" t="str">
        <f t="shared" si="105"/>
        <v>09</v>
      </c>
      <c r="F735" s="4" t="str">
        <f>"05"</f>
        <v>05</v>
      </c>
      <c r="G735" s="4" t="s">
        <v>27</v>
      </c>
      <c r="H735" s="5">
        <v>0</v>
      </c>
      <c r="I735" s="6" t="s">
        <v>13</v>
      </c>
      <c r="J735" s="4">
        <f>SUMPRODUCT(--((A735=$A$3:$A$2785)*$H$3:$H$2785&gt;H735))+1</f>
        <v>3</v>
      </c>
    </row>
    <row r="736" s="1" customFormat="true" customHeight="true" spans="1:10">
      <c r="A736" s="4" t="str">
        <f t="shared" si="104"/>
        <v>016</v>
      </c>
      <c r="B736" s="4" t="s">
        <v>28</v>
      </c>
      <c r="C736" s="4" t="str">
        <f>"张婷"</f>
        <v>张婷</v>
      </c>
      <c r="D736" s="4" t="str">
        <f>"2021020906"</f>
        <v>2021020906</v>
      </c>
      <c r="E736" s="4" t="str">
        <f t="shared" si="105"/>
        <v>09</v>
      </c>
      <c r="F736" s="4" t="str">
        <f>"06"</f>
        <v>06</v>
      </c>
      <c r="G736" s="4" t="s">
        <v>27</v>
      </c>
      <c r="H736" s="5">
        <v>0</v>
      </c>
      <c r="I736" s="6" t="s">
        <v>13</v>
      </c>
      <c r="J736" s="4">
        <f>SUMPRODUCT(--((A736=$A$3:$A$2785)*$H$3:$H$2785&gt;H736))+1</f>
        <v>3</v>
      </c>
    </row>
    <row r="737" s="1" customFormat="true" customHeight="true" spans="1:10">
      <c r="A737" s="4" t="str">
        <f t="shared" si="104"/>
        <v>016</v>
      </c>
      <c r="B737" s="4" t="s">
        <v>28</v>
      </c>
      <c r="C737" s="4" t="str">
        <f>"蒲海涛"</f>
        <v>蒲海涛</v>
      </c>
      <c r="D737" s="4" t="str">
        <f>"2021020908"</f>
        <v>2021020908</v>
      </c>
      <c r="E737" s="4" t="str">
        <f t="shared" si="105"/>
        <v>09</v>
      </c>
      <c r="F737" s="4" t="str">
        <f>"08"</f>
        <v>08</v>
      </c>
      <c r="G737" s="4" t="s">
        <v>27</v>
      </c>
      <c r="H737" s="5">
        <v>0</v>
      </c>
      <c r="I737" s="6" t="s">
        <v>13</v>
      </c>
      <c r="J737" s="4">
        <f>SUMPRODUCT(--((A737=$A$3:$A$2785)*$H$3:$H$2785&gt;H737))+1</f>
        <v>3</v>
      </c>
    </row>
    <row r="738" s="1" customFormat="true" customHeight="true" spans="1:10">
      <c r="A738" s="4" t="str">
        <f t="shared" si="104"/>
        <v>016</v>
      </c>
      <c r="B738" s="4" t="s">
        <v>28</v>
      </c>
      <c r="C738" s="4" t="str">
        <f>"田林"</f>
        <v>田林</v>
      </c>
      <c r="D738" s="4" t="str">
        <f>"2021020909"</f>
        <v>2021020909</v>
      </c>
      <c r="E738" s="4" t="str">
        <f t="shared" si="105"/>
        <v>09</v>
      </c>
      <c r="F738" s="4" t="str">
        <f>"09"</f>
        <v>09</v>
      </c>
      <c r="G738" s="4" t="s">
        <v>27</v>
      </c>
      <c r="H738" s="5">
        <v>0</v>
      </c>
      <c r="I738" s="6" t="s">
        <v>13</v>
      </c>
      <c r="J738" s="4">
        <f>SUMPRODUCT(--((A738=$A$3:$A$2785)*$H$3:$H$2785&gt;H738))+1</f>
        <v>3</v>
      </c>
    </row>
    <row r="739" s="1" customFormat="true" customHeight="true" spans="1:10">
      <c r="A739" s="4" t="str">
        <f t="shared" si="104"/>
        <v>016</v>
      </c>
      <c r="B739" s="4" t="s">
        <v>28</v>
      </c>
      <c r="C739" s="4" t="str">
        <f>"徐志雄"</f>
        <v>徐志雄</v>
      </c>
      <c r="D739" s="4" t="str">
        <f>"2021020911"</f>
        <v>2021020911</v>
      </c>
      <c r="E739" s="4" t="str">
        <f t="shared" si="105"/>
        <v>09</v>
      </c>
      <c r="F739" s="4" t="str">
        <f>"11"</f>
        <v>11</v>
      </c>
      <c r="G739" s="4" t="s">
        <v>27</v>
      </c>
      <c r="H739" s="5">
        <v>0</v>
      </c>
      <c r="I739" s="6" t="s">
        <v>13</v>
      </c>
      <c r="J739" s="4">
        <f>SUMPRODUCT(--((A739=$A$3:$A$2785)*$H$3:$H$2785&gt;H739))+1</f>
        <v>3</v>
      </c>
    </row>
    <row r="740" s="1" customFormat="true" customHeight="true" spans="1:10">
      <c r="A740" s="4" t="str">
        <f t="shared" si="104"/>
        <v>016</v>
      </c>
      <c r="B740" s="4" t="s">
        <v>28</v>
      </c>
      <c r="C740" s="4" t="str">
        <f>"杨芷瑛"</f>
        <v>杨芷瑛</v>
      </c>
      <c r="D740" s="4" t="str">
        <f>"2021020912"</f>
        <v>2021020912</v>
      </c>
      <c r="E740" s="4" t="str">
        <f t="shared" si="105"/>
        <v>09</v>
      </c>
      <c r="F740" s="4" t="str">
        <f>"12"</f>
        <v>12</v>
      </c>
      <c r="G740" s="4" t="s">
        <v>27</v>
      </c>
      <c r="H740" s="5">
        <v>0</v>
      </c>
      <c r="I740" s="6" t="s">
        <v>13</v>
      </c>
      <c r="J740" s="4">
        <f>SUMPRODUCT(--((A740=$A$3:$A$2785)*$H$3:$H$2785&gt;H740))+1</f>
        <v>3</v>
      </c>
    </row>
    <row r="741" s="1" customFormat="true" customHeight="true" spans="1:10">
      <c r="A741" s="4" t="str">
        <f t="shared" si="104"/>
        <v>016</v>
      </c>
      <c r="B741" s="4" t="s">
        <v>28</v>
      </c>
      <c r="C741" s="4" t="str">
        <f>"陈文卿"</f>
        <v>陈文卿</v>
      </c>
      <c r="D741" s="4" t="str">
        <f>"2021020913"</f>
        <v>2021020913</v>
      </c>
      <c r="E741" s="4" t="str">
        <f t="shared" si="105"/>
        <v>09</v>
      </c>
      <c r="F741" s="4" t="str">
        <f>"13"</f>
        <v>13</v>
      </c>
      <c r="G741" s="4" t="s">
        <v>27</v>
      </c>
      <c r="H741" s="5">
        <v>0</v>
      </c>
      <c r="I741" s="6" t="s">
        <v>13</v>
      </c>
      <c r="J741" s="4">
        <f>SUMPRODUCT(--((A741=$A$3:$A$2785)*$H$3:$H$2785&gt;H741))+1</f>
        <v>3</v>
      </c>
    </row>
    <row r="742" s="1" customFormat="true" customHeight="true" spans="1:10">
      <c r="A742" s="4" t="str">
        <f t="shared" si="104"/>
        <v>016</v>
      </c>
      <c r="B742" s="4" t="s">
        <v>28</v>
      </c>
      <c r="C742" s="4" t="str">
        <f>"徐强州"</f>
        <v>徐强州</v>
      </c>
      <c r="D742" s="4" t="str">
        <f>"2021020914"</f>
        <v>2021020914</v>
      </c>
      <c r="E742" s="4" t="str">
        <f t="shared" si="105"/>
        <v>09</v>
      </c>
      <c r="F742" s="4" t="str">
        <f t="shared" ref="F742:F747" si="106">"14"</f>
        <v>14</v>
      </c>
      <c r="G742" s="4" t="s">
        <v>27</v>
      </c>
      <c r="H742" s="5">
        <v>0</v>
      </c>
      <c r="I742" s="6" t="s">
        <v>13</v>
      </c>
      <c r="J742" s="4">
        <f>SUMPRODUCT(--((A742=$A$3:$A$2785)*$H$3:$H$2785&gt;H742))+1</f>
        <v>3</v>
      </c>
    </row>
    <row r="743" s="1" customFormat="true" customHeight="true" spans="1:10">
      <c r="A743" s="4" t="str">
        <f t="shared" ref="A743:A806" si="107">"017"</f>
        <v>017</v>
      </c>
      <c r="B743" s="4" t="s">
        <v>29</v>
      </c>
      <c r="C743" s="4" t="str">
        <f>"田依雨"</f>
        <v>田依雨</v>
      </c>
      <c r="D743" s="4" t="str">
        <f>"2021021502"</f>
        <v>2021021502</v>
      </c>
      <c r="E743" s="4" t="str">
        <f t="shared" ref="E743:E748" si="108">"15"</f>
        <v>15</v>
      </c>
      <c r="F743" s="4" t="str">
        <f>"02"</f>
        <v>02</v>
      </c>
      <c r="G743" s="4" t="s">
        <v>27</v>
      </c>
      <c r="H743" s="5">
        <v>89.15</v>
      </c>
      <c r="I743" s="4"/>
      <c r="J743" s="4">
        <f>SUMPRODUCT(--((A743=$A$3:$A$2785)*$H$3:$H$2785&gt;H743))+1</f>
        <v>1</v>
      </c>
    </row>
    <row r="744" s="1" customFormat="true" customHeight="true" spans="1:10">
      <c r="A744" s="4" t="str">
        <f t="shared" si="107"/>
        <v>017</v>
      </c>
      <c r="B744" s="4" t="s">
        <v>29</v>
      </c>
      <c r="C744" s="4" t="str">
        <f>"尹雯婷"</f>
        <v>尹雯婷</v>
      </c>
      <c r="D744" s="4" t="str">
        <f>"2021021512"</f>
        <v>2021021512</v>
      </c>
      <c r="E744" s="4" t="str">
        <f t="shared" si="108"/>
        <v>15</v>
      </c>
      <c r="F744" s="4" t="str">
        <f>"12"</f>
        <v>12</v>
      </c>
      <c r="G744" s="4" t="s">
        <v>27</v>
      </c>
      <c r="H744" s="5">
        <v>88.5</v>
      </c>
      <c r="I744" s="4"/>
      <c r="J744" s="4">
        <f>SUMPRODUCT(--((A744=$A$3:$A$2785)*$H$3:$H$2785&gt;H744))+1</f>
        <v>2</v>
      </c>
    </row>
    <row r="745" s="1" customFormat="true" customHeight="true" spans="1:10">
      <c r="A745" s="4" t="str">
        <f t="shared" si="107"/>
        <v>017</v>
      </c>
      <c r="B745" s="4" t="s">
        <v>29</v>
      </c>
      <c r="C745" s="4" t="str">
        <f>"李苏曼"</f>
        <v>李苏曼</v>
      </c>
      <c r="D745" s="4" t="str">
        <f>"2021021401"</f>
        <v>2021021401</v>
      </c>
      <c r="E745" s="4" t="str">
        <f>"14"</f>
        <v>14</v>
      </c>
      <c r="F745" s="4" t="str">
        <f>"01"</f>
        <v>01</v>
      </c>
      <c r="G745" s="4" t="s">
        <v>27</v>
      </c>
      <c r="H745" s="5">
        <v>86.1</v>
      </c>
      <c r="I745" s="4"/>
      <c r="J745" s="4">
        <f>SUMPRODUCT(--((A745=$A$3:$A$2785)*$H$3:$H$2785&gt;H745))+1</f>
        <v>3</v>
      </c>
    </row>
    <row r="746" s="1" customFormat="true" customHeight="true" spans="1:10">
      <c r="A746" s="4" t="str">
        <f t="shared" si="107"/>
        <v>017</v>
      </c>
      <c r="B746" s="4" t="s">
        <v>29</v>
      </c>
      <c r="C746" s="4" t="str">
        <f>"丁忠文"</f>
        <v>丁忠文</v>
      </c>
      <c r="D746" s="4" t="str">
        <f>"2021021414"</f>
        <v>2021021414</v>
      </c>
      <c r="E746" s="4" t="str">
        <f>"14"</f>
        <v>14</v>
      </c>
      <c r="F746" s="4" t="str">
        <f t="shared" si="106"/>
        <v>14</v>
      </c>
      <c r="G746" s="4" t="s">
        <v>27</v>
      </c>
      <c r="H746" s="5">
        <v>86.1</v>
      </c>
      <c r="I746" s="4"/>
      <c r="J746" s="4">
        <f>SUMPRODUCT(--((A746=$A$3:$A$2785)*$H$3:$H$2785&gt;H746))+1</f>
        <v>3</v>
      </c>
    </row>
    <row r="747" s="1" customFormat="true" customHeight="true" spans="1:10">
      <c r="A747" s="4" t="str">
        <f t="shared" si="107"/>
        <v>017</v>
      </c>
      <c r="B747" s="4" t="s">
        <v>29</v>
      </c>
      <c r="C747" s="4" t="str">
        <f>"张玉婷"</f>
        <v>张玉婷</v>
      </c>
      <c r="D747" s="4" t="str">
        <f>"2021021514"</f>
        <v>2021021514</v>
      </c>
      <c r="E747" s="4" t="str">
        <f t="shared" si="108"/>
        <v>15</v>
      </c>
      <c r="F747" s="4" t="str">
        <f t="shared" si="106"/>
        <v>14</v>
      </c>
      <c r="G747" s="4" t="s">
        <v>27</v>
      </c>
      <c r="H747" s="5">
        <v>84.4</v>
      </c>
      <c r="I747" s="4"/>
      <c r="J747" s="4">
        <f>SUMPRODUCT(--((A747=$A$3:$A$2785)*$H$3:$H$2785&gt;H747))+1</f>
        <v>5</v>
      </c>
    </row>
    <row r="748" s="1" customFormat="true" customHeight="true" spans="1:10">
      <c r="A748" s="4" t="str">
        <f t="shared" si="107"/>
        <v>017</v>
      </c>
      <c r="B748" s="4" t="s">
        <v>29</v>
      </c>
      <c r="C748" s="4" t="str">
        <f>"杨艳林"</f>
        <v>杨艳林</v>
      </c>
      <c r="D748" s="4" t="str">
        <f>"2021021509"</f>
        <v>2021021509</v>
      </c>
      <c r="E748" s="4" t="str">
        <f t="shared" si="108"/>
        <v>15</v>
      </c>
      <c r="F748" s="4" t="str">
        <f>"09"</f>
        <v>09</v>
      </c>
      <c r="G748" s="4" t="s">
        <v>27</v>
      </c>
      <c r="H748" s="5">
        <v>84</v>
      </c>
      <c r="I748" s="4"/>
      <c r="J748" s="4">
        <f>SUMPRODUCT(--((A748=$A$3:$A$2785)*$H$3:$H$2785&gt;H748))+1</f>
        <v>6</v>
      </c>
    </row>
    <row r="749" s="1" customFormat="true" customHeight="true" spans="1:10">
      <c r="A749" s="4" t="str">
        <f t="shared" si="107"/>
        <v>017</v>
      </c>
      <c r="B749" s="4" t="s">
        <v>29</v>
      </c>
      <c r="C749" s="4" t="str">
        <f>"粟雨薇"</f>
        <v>粟雨薇</v>
      </c>
      <c r="D749" s="4" t="str">
        <f>"2021021130"</f>
        <v>2021021130</v>
      </c>
      <c r="E749" s="4" t="str">
        <f>"11"</f>
        <v>11</v>
      </c>
      <c r="F749" s="4" t="str">
        <f>"30"</f>
        <v>30</v>
      </c>
      <c r="G749" s="4" t="s">
        <v>27</v>
      </c>
      <c r="H749" s="5">
        <v>83.95</v>
      </c>
      <c r="I749" s="4"/>
      <c r="J749" s="4">
        <f>SUMPRODUCT(--((A749=$A$3:$A$2785)*$H$3:$H$2785&gt;H749))+1</f>
        <v>7</v>
      </c>
    </row>
    <row r="750" s="1" customFormat="true" customHeight="true" spans="1:10">
      <c r="A750" s="4" t="str">
        <f t="shared" si="107"/>
        <v>017</v>
      </c>
      <c r="B750" s="4" t="s">
        <v>29</v>
      </c>
      <c r="C750" s="4" t="str">
        <f>"黄涵哲"</f>
        <v>黄涵哲</v>
      </c>
      <c r="D750" s="4" t="str">
        <f>"2021021519"</f>
        <v>2021021519</v>
      </c>
      <c r="E750" s="4" t="str">
        <f>"15"</f>
        <v>15</v>
      </c>
      <c r="F750" s="4" t="str">
        <f>"19"</f>
        <v>19</v>
      </c>
      <c r="G750" s="4" t="s">
        <v>27</v>
      </c>
      <c r="H750" s="5">
        <v>83.9</v>
      </c>
      <c r="I750" s="4"/>
      <c r="J750" s="4">
        <f>SUMPRODUCT(--((A750=$A$3:$A$2785)*$H$3:$H$2785&gt;H750))+1</f>
        <v>8</v>
      </c>
    </row>
    <row r="751" s="1" customFormat="true" customHeight="true" spans="1:10">
      <c r="A751" s="4" t="str">
        <f t="shared" si="107"/>
        <v>017</v>
      </c>
      <c r="B751" s="4" t="s">
        <v>29</v>
      </c>
      <c r="C751" s="4" t="str">
        <f>"欧湘蓉"</f>
        <v>欧湘蓉</v>
      </c>
      <c r="D751" s="4" t="str">
        <f>"2021021209"</f>
        <v>2021021209</v>
      </c>
      <c r="E751" s="4" t="str">
        <f>"12"</f>
        <v>12</v>
      </c>
      <c r="F751" s="4" t="str">
        <f>"09"</f>
        <v>09</v>
      </c>
      <c r="G751" s="4" t="s">
        <v>27</v>
      </c>
      <c r="H751" s="5">
        <v>83.85</v>
      </c>
      <c r="I751" s="4"/>
      <c r="J751" s="4">
        <f>SUMPRODUCT(--((A751=$A$3:$A$2785)*$H$3:$H$2785&gt;H751))+1</f>
        <v>9</v>
      </c>
    </row>
    <row r="752" s="1" customFormat="true" customHeight="true" spans="1:10">
      <c r="A752" s="4" t="str">
        <f t="shared" si="107"/>
        <v>017</v>
      </c>
      <c r="B752" s="4" t="s">
        <v>29</v>
      </c>
      <c r="C752" s="4" t="str">
        <f>"姚士英"</f>
        <v>姚士英</v>
      </c>
      <c r="D752" s="4" t="str">
        <f>"2021021129"</f>
        <v>2021021129</v>
      </c>
      <c r="E752" s="4" t="str">
        <f>"11"</f>
        <v>11</v>
      </c>
      <c r="F752" s="4" t="str">
        <f>"29"</f>
        <v>29</v>
      </c>
      <c r="G752" s="4" t="s">
        <v>27</v>
      </c>
      <c r="H752" s="5">
        <v>83.2</v>
      </c>
      <c r="I752" s="4"/>
      <c r="J752" s="4">
        <f>SUMPRODUCT(--((A752=$A$3:$A$2785)*$H$3:$H$2785&gt;H752))+1</f>
        <v>10</v>
      </c>
    </row>
    <row r="753" s="1" customFormat="true" customHeight="true" spans="1:10">
      <c r="A753" s="4" t="str">
        <f t="shared" si="107"/>
        <v>017</v>
      </c>
      <c r="B753" s="4" t="s">
        <v>29</v>
      </c>
      <c r="C753" s="4" t="str">
        <f>"李囿萱"</f>
        <v>李囿萱</v>
      </c>
      <c r="D753" s="4" t="str">
        <f>"2021021323"</f>
        <v>2021021323</v>
      </c>
      <c r="E753" s="4" t="str">
        <f t="shared" ref="E753:E758" si="109">"13"</f>
        <v>13</v>
      </c>
      <c r="F753" s="4" t="str">
        <f>"23"</f>
        <v>23</v>
      </c>
      <c r="G753" s="4" t="s">
        <v>27</v>
      </c>
      <c r="H753" s="5">
        <v>83.05</v>
      </c>
      <c r="I753" s="4"/>
      <c r="J753" s="4">
        <f>SUMPRODUCT(--((A753=$A$3:$A$2785)*$H$3:$H$2785&gt;H753))+1</f>
        <v>11</v>
      </c>
    </row>
    <row r="754" s="1" customFormat="true" customHeight="true" spans="1:10">
      <c r="A754" s="4" t="str">
        <f t="shared" si="107"/>
        <v>017</v>
      </c>
      <c r="B754" s="4" t="s">
        <v>29</v>
      </c>
      <c r="C754" s="4" t="str">
        <f>"阳珊"</f>
        <v>阳珊</v>
      </c>
      <c r="D754" s="4" t="str">
        <f>"2021021316"</f>
        <v>2021021316</v>
      </c>
      <c r="E754" s="4" t="str">
        <f t="shared" si="109"/>
        <v>13</v>
      </c>
      <c r="F754" s="4" t="str">
        <f>"16"</f>
        <v>16</v>
      </c>
      <c r="G754" s="4" t="s">
        <v>27</v>
      </c>
      <c r="H754" s="5">
        <v>82.8</v>
      </c>
      <c r="I754" s="4"/>
      <c r="J754" s="4">
        <f>SUMPRODUCT(--((A754=$A$3:$A$2785)*$H$3:$H$2785&gt;H754))+1</f>
        <v>12</v>
      </c>
    </row>
    <row r="755" s="1" customFormat="true" customHeight="true" spans="1:10">
      <c r="A755" s="4" t="str">
        <f t="shared" si="107"/>
        <v>017</v>
      </c>
      <c r="B755" s="4" t="s">
        <v>29</v>
      </c>
      <c r="C755" s="4" t="str">
        <f>"陈奥"</f>
        <v>陈奥</v>
      </c>
      <c r="D755" s="4" t="str">
        <f>"2021021403"</f>
        <v>2021021403</v>
      </c>
      <c r="E755" s="4" t="str">
        <f>"14"</f>
        <v>14</v>
      </c>
      <c r="F755" s="4" t="str">
        <f>"03"</f>
        <v>03</v>
      </c>
      <c r="G755" s="4" t="s">
        <v>27</v>
      </c>
      <c r="H755" s="5">
        <v>82.65</v>
      </c>
      <c r="I755" s="4"/>
      <c r="J755" s="4">
        <f>SUMPRODUCT(--((A755=$A$3:$A$2785)*$H$3:$H$2785&gt;H755))+1</f>
        <v>13</v>
      </c>
    </row>
    <row r="756" s="1" customFormat="true" customHeight="true" spans="1:10">
      <c r="A756" s="4" t="str">
        <f t="shared" si="107"/>
        <v>017</v>
      </c>
      <c r="B756" s="4" t="s">
        <v>29</v>
      </c>
      <c r="C756" s="4" t="str">
        <f>"张泽睿"</f>
        <v>张泽睿</v>
      </c>
      <c r="D756" s="4" t="str">
        <f>"2021021423"</f>
        <v>2021021423</v>
      </c>
      <c r="E756" s="4" t="str">
        <f>"14"</f>
        <v>14</v>
      </c>
      <c r="F756" s="4" t="str">
        <f>"23"</f>
        <v>23</v>
      </c>
      <c r="G756" s="4" t="s">
        <v>27</v>
      </c>
      <c r="H756" s="5">
        <v>81.95</v>
      </c>
      <c r="I756" s="4"/>
      <c r="J756" s="4">
        <f>SUMPRODUCT(--((A756=$A$3:$A$2785)*$H$3:$H$2785&gt;H756))+1</f>
        <v>14</v>
      </c>
    </row>
    <row r="757" s="1" customFormat="true" customHeight="true" spans="1:10">
      <c r="A757" s="4" t="str">
        <f t="shared" si="107"/>
        <v>017</v>
      </c>
      <c r="B757" s="4" t="s">
        <v>29</v>
      </c>
      <c r="C757" s="4" t="str">
        <f>"胡金鑫"</f>
        <v>胡金鑫</v>
      </c>
      <c r="D757" s="4" t="str">
        <f>"2021021216"</f>
        <v>2021021216</v>
      </c>
      <c r="E757" s="4" t="str">
        <f>"12"</f>
        <v>12</v>
      </c>
      <c r="F757" s="4" t="str">
        <f>"16"</f>
        <v>16</v>
      </c>
      <c r="G757" s="4" t="s">
        <v>27</v>
      </c>
      <c r="H757" s="5">
        <v>81.75</v>
      </c>
      <c r="I757" s="4"/>
      <c r="J757" s="4">
        <f>SUMPRODUCT(--((A757=$A$3:$A$2785)*$H$3:$H$2785&gt;H757))+1</f>
        <v>15</v>
      </c>
    </row>
    <row r="758" s="1" customFormat="true" customHeight="true" spans="1:10">
      <c r="A758" s="4" t="str">
        <f t="shared" si="107"/>
        <v>017</v>
      </c>
      <c r="B758" s="4" t="s">
        <v>29</v>
      </c>
      <c r="C758" s="4" t="str">
        <f>"姚靖"</f>
        <v>姚靖</v>
      </c>
      <c r="D758" s="4" t="str">
        <f>"2021021306"</f>
        <v>2021021306</v>
      </c>
      <c r="E758" s="4" t="str">
        <f t="shared" si="109"/>
        <v>13</v>
      </c>
      <c r="F758" s="4" t="str">
        <f>"06"</f>
        <v>06</v>
      </c>
      <c r="G758" s="4" t="s">
        <v>27</v>
      </c>
      <c r="H758" s="5">
        <v>81.65</v>
      </c>
      <c r="I758" s="4"/>
      <c r="J758" s="4">
        <f>SUMPRODUCT(--((A758=$A$3:$A$2785)*$H$3:$H$2785&gt;H758))+1</f>
        <v>16</v>
      </c>
    </row>
    <row r="759" s="1" customFormat="true" customHeight="true" spans="1:10">
      <c r="A759" s="4" t="str">
        <f t="shared" si="107"/>
        <v>017</v>
      </c>
      <c r="B759" s="4" t="s">
        <v>29</v>
      </c>
      <c r="C759" s="4" t="str">
        <f>"杨春铃"</f>
        <v>杨春铃</v>
      </c>
      <c r="D759" s="4" t="str">
        <f>"2021021125"</f>
        <v>2021021125</v>
      </c>
      <c r="E759" s="4" t="str">
        <f>"11"</f>
        <v>11</v>
      </c>
      <c r="F759" s="4" t="str">
        <f>"25"</f>
        <v>25</v>
      </c>
      <c r="G759" s="4" t="s">
        <v>27</v>
      </c>
      <c r="H759" s="5">
        <v>81.55</v>
      </c>
      <c r="I759" s="4"/>
      <c r="J759" s="4">
        <f>SUMPRODUCT(--((A759=$A$3:$A$2785)*$H$3:$H$2785&gt;H759))+1</f>
        <v>17</v>
      </c>
    </row>
    <row r="760" s="1" customFormat="true" customHeight="true" spans="1:10">
      <c r="A760" s="4" t="str">
        <f t="shared" si="107"/>
        <v>017</v>
      </c>
      <c r="B760" s="4" t="s">
        <v>29</v>
      </c>
      <c r="C760" s="4" t="str">
        <f>"郭云发"</f>
        <v>郭云发</v>
      </c>
      <c r="D760" s="4" t="str">
        <f>"2021021213"</f>
        <v>2021021213</v>
      </c>
      <c r="E760" s="4" t="str">
        <f>"12"</f>
        <v>12</v>
      </c>
      <c r="F760" s="4" t="str">
        <f>"13"</f>
        <v>13</v>
      </c>
      <c r="G760" s="4" t="s">
        <v>27</v>
      </c>
      <c r="H760" s="5">
        <v>81.55</v>
      </c>
      <c r="I760" s="4"/>
      <c r="J760" s="4">
        <f>SUMPRODUCT(--((A760=$A$3:$A$2785)*$H$3:$H$2785&gt;H760))+1</f>
        <v>17</v>
      </c>
    </row>
    <row r="761" s="1" customFormat="true" customHeight="true" spans="1:10">
      <c r="A761" s="4" t="str">
        <f t="shared" si="107"/>
        <v>017</v>
      </c>
      <c r="B761" s="4" t="s">
        <v>29</v>
      </c>
      <c r="C761" s="4" t="str">
        <f>"蔡慧敏"</f>
        <v>蔡慧敏</v>
      </c>
      <c r="D761" s="4" t="str">
        <f>"2021021416"</f>
        <v>2021021416</v>
      </c>
      <c r="E761" s="4" t="str">
        <f>"14"</f>
        <v>14</v>
      </c>
      <c r="F761" s="4" t="str">
        <f>"16"</f>
        <v>16</v>
      </c>
      <c r="G761" s="4" t="s">
        <v>27</v>
      </c>
      <c r="H761" s="5">
        <v>81.25</v>
      </c>
      <c r="I761" s="4"/>
      <c r="J761" s="4">
        <f>SUMPRODUCT(--((A761=$A$3:$A$2785)*$H$3:$H$2785&gt;H761))+1</f>
        <v>19</v>
      </c>
    </row>
    <row r="762" s="1" customFormat="true" customHeight="true" spans="1:10">
      <c r="A762" s="4" t="str">
        <f t="shared" si="107"/>
        <v>017</v>
      </c>
      <c r="B762" s="4" t="s">
        <v>29</v>
      </c>
      <c r="C762" s="4" t="str">
        <f>"赵杰"</f>
        <v>赵杰</v>
      </c>
      <c r="D762" s="4" t="str">
        <f>"2021021305"</f>
        <v>2021021305</v>
      </c>
      <c r="E762" s="4" t="str">
        <f>"13"</f>
        <v>13</v>
      </c>
      <c r="F762" s="4" t="str">
        <f>"05"</f>
        <v>05</v>
      </c>
      <c r="G762" s="4" t="s">
        <v>27</v>
      </c>
      <c r="H762" s="5">
        <v>80.1</v>
      </c>
      <c r="I762" s="4"/>
      <c r="J762" s="4">
        <f>SUMPRODUCT(--((A762=$A$3:$A$2785)*$H$3:$H$2785&gt;H762))+1</f>
        <v>20</v>
      </c>
    </row>
    <row r="763" s="1" customFormat="true" customHeight="true" spans="1:10">
      <c r="A763" s="4" t="str">
        <f t="shared" si="107"/>
        <v>017</v>
      </c>
      <c r="B763" s="4" t="s">
        <v>29</v>
      </c>
      <c r="C763" s="4" t="str">
        <f>"张思媛"</f>
        <v>张思媛</v>
      </c>
      <c r="D763" s="4" t="str">
        <f>"2021021303"</f>
        <v>2021021303</v>
      </c>
      <c r="E763" s="4" t="str">
        <f>"13"</f>
        <v>13</v>
      </c>
      <c r="F763" s="4" t="str">
        <f>"03"</f>
        <v>03</v>
      </c>
      <c r="G763" s="4" t="s">
        <v>27</v>
      </c>
      <c r="H763" s="5">
        <v>79.75</v>
      </c>
      <c r="I763" s="4"/>
      <c r="J763" s="4">
        <f>SUMPRODUCT(--((A763=$A$3:$A$2785)*$H$3:$H$2785&gt;H763))+1</f>
        <v>21</v>
      </c>
    </row>
    <row r="764" s="1" customFormat="true" customHeight="true" spans="1:10">
      <c r="A764" s="4" t="str">
        <f t="shared" si="107"/>
        <v>017</v>
      </c>
      <c r="B764" s="4" t="s">
        <v>29</v>
      </c>
      <c r="C764" s="4" t="str">
        <f>"李嘉欣"</f>
        <v>李嘉欣</v>
      </c>
      <c r="D764" s="4" t="str">
        <f>"2021021511"</f>
        <v>2021021511</v>
      </c>
      <c r="E764" s="4" t="str">
        <f t="shared" ref="E764:E769" si="110">"15"</f>
        <v>15</v>
      </c>
      <c r="F764" s="4" t="str">
        <f>"11"</f>
        <v>11</v>
      </c>
      <c r="G764" s="4" t="s">
        <v>27</v>
      </c>
      <c r="H764" s="5">
        <v>79.35</v>
      </c>
      <c r="I764" s="4"/>
      <c r="J764" s="4">
        <f>SUMPRODUCT(--((A764=$A$3:$A$2785)*$H$3:$H$2785&gt;H764))+1</f>
        <v>22</v>
      </c>
    </row>
    <row r="765" s="1" customFormat="true" customHeight="true" spans="1:10">
      <c r="A765" s="4" t="str">
        <f t="shared" si="107"/>
        <v>017</v>
      </c>
      <c r="B765" s="4" t="s">
        <v>29</v>
      </c>
      <c r="C765" s="4" t="str">
        <f>"屠琴"</f>
        <v>屠琴</v>
      </c>
      <c r="D765" s="4" t="str">
        <f>"2021021205"</f>
        <v>2021021205</v>
      </c>
      <c r="E765" s="4" t="str">
        <f>"12"</f>
        <v>12</v>
      </c>
      <c r="F765" s="4" t="str">
        <f>"05"</f>
        <v>05</v>
      </c>
      <c r="G765" s="4" t="s">
        <v>27</v>
      </c>
      <c r="H765" s="5">
        <v>79.25</v>
      </c>
      <c r="I765" s="4"/>
      <c r="J765" s="4">
        <f>SUMPRODUCT(--((A765=$A$3:$A$2785)*$H$3:$H$2785&gt;H765))+1</f>
        <v>23</v>
      </c>
    </row>
    <row r="766" s="1" customFormat="true" customHeight="true" spans="1:10">
      <c r="A766" s="4" t="str">
        <f t="shared" si="107"/>
        <v>017</v>
      </c>
      <c r="B766" s="4" t="s">
        <v>29</v>
      </c>
      <c r="C766" s="4" t="str">
        <f>"王巧"</f>
        <v>王巧</v>
      </c>
      <c r="D766" s="4" t="str">
        <f>"2021021417"</f>
        <v>2021021417</v>
      </c>
      <c r="E766" s="4" t="str">
        <f>"14"</f>
        <v>14</v>
      </c>
      <c r="F766" s="4" t="str">
        <f>"17"</f>
        <v>17</v>
      </c>
      <c r="G766" s="4" t="s">
        <v>27</v>
      </c>
      <c r="H766" s="5">
        <v>79.15</v>
      </c>
      <c r="I766" s="4"/>
      <c r="J766" s="4">
        <f>SUMPRODUCT(--((A766=$A$3:$A$2785)*$H$3:$H$2785&gt;H766))+1</f>
        <v>24</v>
      </c>
    </row>
    <row r="767" s="1" customFormat="true" customHeight="true" spans="1:10">
      <c r="A767" s="4" t="str">
        <f t="shared" si="107"/>
        <v>017</v>
      </c>
      <c r="B767" s="4" t="s">
        <v>29</v>
      </c>
      <c r="C767" s="4" t="str">
        <f>"雷茗惠"</f>
        <v>雷茗惠</v>
      </c>
      <c r="D767" s="4" t="str">
        <f>"2021021517"</f>
        <v>2021021517</v>
      </c>
      <c r="E767" s="4" t="str">
        <f t="shared" si="110"/>
        <v>15</v>
      </c>
      <c r="F767" s="4" t="str">
        <f>"17"</f>
        <v>17</v>
      </c>
      <c r="G767" s="4" t="s">
        <v>27</v>
      </c>
      <c r="H767" s="5">
        <v>79.15</v>
      </c>
      <c r="I767" s="4"/>
      <c r="J767" s="4">
        <f>SUMPRODUCT(--((A767=$A$3:$A$2785)*$H$3:$H$2785&gt;H767))+1</f>
        <v>24</v>
      </c>
    </row>
    <row r="768" s="1" customFormat="true" customHeight="true" spans="1:10">
      <c r="A768" s="4" t="str">
        <f t="shared" si="107"/>
        <v>017</v>
      </c>
      <c r="B768" s="4" t="s">
        <v>29</v>
      </c>
      <c r="C768" s="4" t="str">
        <f>"谷欣蕊"</f>
        <v>谷欣蕊</v>
      </c>
      <c r="D768" s="4" t="str">
        <f>"2021021201"</f>
        <v>2021021201</v>
      </c>
      <c r="E768" s="4" t="str">
        <f>"12"</f>
        <v>12</v>
      </c>
      <c r="F768" s="4" t="str">
        <f>"01"</f>
        <v>01</v>
      </c>
      <c r="G768" s="4" t="s">
        <v>27</v>
      </c>
      <c r="H768" s="5">
        <v>78.3</v>
      </c>
      <c r="I768" s="4"/>
      <c r="J768" s="4">
        <f>SUMPRODUCT(--((A768=$A$3:$A$2785)*$H$3:$H$2785&gt;H768))+1</f>
        <v>26</v>
      </c>
    </row>
    <row r="769" s="1" customFormat="true" customHeight="true" spans="1:10">
      <c r="A769" s="4" t="str">
        <f t="shared" si="107"/>
        <v>017</v>
      </c>
      <c r="B769" s="4" t="s">
        <v>29</v>
      </c>
      <c r="C769" s="4" t="str">
        <f>"唐柳"</f>
        <v>唐柳</v>
      </c>
      <c r="D769" s="4" t="str">
        <f>"2021021505"</f>
        <v>2021021505</v>
      </c>
      <c r="E769" s="4" t="str">
        <f t="shared" si="110"/>
        <v>15</v>
      </c>
      <c r="F769" s="4" t="str">
        <f>"05"</f>
        <v>05</v>
      </c>
      <c r="G769" s="4" t="s">
        <v>27</v>
      </c>
      <c r="H769" s="5">
        <v>78.15</v>
      </c>
      <c r="I769" s="4"/>
      <c r="J769" s="4">
        <f>SUMPRODUCT(--((A769=$A$3:$A$2785)*$H$3:$H$2785&gt;H769))+1</f>
        <v>27</v>
      </c>
    </row>
    <row r="770" s="1" customFormat="true" customHeight="true" spans="1:10">
      <c r="A770" s="4" t="str">
        <f t="shared" si="107"/>
        <v>017</v>
      </c>
      <c r="B770" s="4" t="s">
        <v>29</v>
      </c>
      <c r="C770" s="4" t="str">
        <f>"舒丽"</f>
        <v>舒丽</v>
      </c>
      <c r="D770" s="4" t="str">
        <f>"2021021311"</f>
        <v>2021021311</v>
      </c>
      <c r="E770" s="4" t="str">
        <f t="shared" ref="E770:E774" si="111">"13"</f>
        <v>13</v>
      </c>
      <c r="F770" s="4" t="str">
        <f>"11"</f>
        <v>11</v>
      </c>
      <c r="G770" s="4" t="s">
        <v>27</v>
      </c>
      <c r="H770" s="5">
        <v>77.85</v>
      </c>
      <c r="I770" s="4"/>
      <c r="J770" s="4">
        <f>SUMPRODUCT(--((A770=$A$3:$A$2785)*$H$3:$H$2785&gt;H770))+1</f>
        <v>28</v>
      </c>
    </row>
    <row r="771" s="1" customFormat="true" customHeight="true" spans="1:10">
      <c r="A771" s="4" t="str">
        <f t="shared" si="107"/>
        <v>017</v>
      </c>
      <c r="B771" s="4" t="s">
        <v>29</v>
      </c>
      <c r="C771" s="4" t="str">
        <f>"杨凡"</f>
        <v>杨凡</v>
      </c>
      <c r="D771" s="4" t="str">
        <f>"2021021312"</f>
        <v>2021021312</v>
      </c>
      <c r="E771" s="4" t="str">
        <f t="shared" si="111"/>
        <v>13</v>
      </c>
      <c r="F771" s="4" t="str">
        <f>"12"</f>
        <v>12</v>
      </c>
      <c r="G771" s="4" t="s">
        <v>27</v>
      </c>
      <c r="H771" s="5">
        <v>77.25</v>
      </c>
      <c r="I771" s="4"/>
      <c r="J771" s="4">
        <f>SUMPRODUCT(--((A771=$A$3:$A$2785)*$H$3:$H$2785&gt;H771))+1</f>
        <v>29</v>
      </c>
    </row>
    <row r="772" s="1" customFormat="true" customHeight="true" spans="1:10">
      <c r="A772" s="4" t="str">
        <f t="shared" si="107"/>
        <v>017</v>
      </c>
      <c r="B772" s="4" t="s">
        <v>29</v>
      </c>
      <c r="C772" s="4" t="str">
        <f>"仇仁玉"</f>
        <v>仇仁玉</v>
      </c>
      <c r="D772" s="4" t="str">
        <f>"2021021513"</f>
        <v>2021021513</v>
      </c>
      <c r="E772" s="4" t="str">
        <f>"15"</f>
        <v>15</v>
      </c>
      <c r="F772" s="4" t="str">
        <f>"13"</f>
        <v>13</v>
      </c>
      <c r="G772" s="4" t="s">
        <v>27</v>
      </c>
      <c r="H772" s="5">
        <v>77.2</v>
      </c>
      <c r="I772" s="4"/>
      <c r="J772" s="4">
        <f>SUMPRODUCT(--((A772=$A$3:$A$2785)*$H$3:$H$2785&gt;H772))+1</f>
        <v>30</v>
      </c>
    </row>
    <row r="773" s="1" customFormat="true" customHeight="true" spans="1:10">
      <c r="A773" s="4" t="str">
        <f t="shared" si="107"/>
        <v>017</v>
      </c>
      <c r="B773" s="4" t="s">
        <v>29</v>
      </c>
      <c r="C773" s="4" t="str">
        <f>"廖艺"</f>
        <v>廖艺</v>
      </c>
      <c r="D773" s="4" t="str">
        <f>"2021021402"</f>
        <v>2021021402</v>
      </c>
      <c r="E773" s="4" t="str">
        <f>"14"</f>
        <v>14</v>
      </c>
      <c r="F773" s="4" t="str">
        <f>"02"</f>
        <v>02</v>
      </c>
      <c r="G773" s="4" t="s">
        <v>27</v>
      </c>
      <c r="H773" s="5">
        <v>76.85</v>
      </c>
      <c r="I773" s="4"/>
      <c r="J773" s="4">
        <f>SUMPRODUCT(--((A773=$A$3:$A$2785)*$H$3:$H$2785&gt;H773))+1</f>
        <v>31</v>
      </c>
    </row>
    <row r="774" s="1" customFormat="true" customHeight="true" spans="1:10">
      <c r="A774" s="4" t="str">
        <f t="shared" si="107"/>
        <v>017</v>
      </c>
      <c r="B774" s="4" t="s">
        <v>29</v>
      </c>
      <c r="C774" s="4" t="str">
        <f>"陈雨浠"</f>
        <v>陈雨浠</v>
      </c>
      <c r="D774" s="4" t="str">
        <f>"2021021319"</f>
        <v>2021021319</v>
      </c>
      <c r="E774" s="4" t="str">
        <f t="shared" si="111"/>
        <v>13</v>
      </c>
      <c r="F774" s="4" t="str">
        <f>"19"</f>
        <v>19</v>
      </c>
      <c r="G774" s="4" t="s">
        <v>27</v>
      </c>
      <c r="H774" s="5">
        <v>76.45</v>
      </c>
      <c r="I774" s="4"/>
      <c r="J774" s="4">
        <f>SUMPRODUCT(--((A774=$A$3:$A$2785)*$H$3:$H$2785&gt;H774))+1</f>
        <v>32</v>
      </c>
    </row>
    <row r="775" s="1" customFormat="true" customHeight="true" spans="1:10">
      <c r="A775" s="4" t="str">
        <f t="shared" si="107"/>
        <v>017</v>
      </c>
      <c r="B775" s="4" t="s">
        <v>29</v>
      </c>
      <c r="C775" s="4" t="str">
        <f>"杨钰晶"</f>
        <v>杨钰晶</v>
      </c>
      <c r="D775" s="4" t="str">
        <f>"2021021203"</f>
        <v>2021021203</v>
      </c>
      <c r="E775" s="4" t="str">
        <f>"12"</f>
        <v>12</v>
      </c>
      <c r="F775" s="4" t="str">
        <f>"03"</f>
        <v>03</v>
      </c>
      <c r="G775" s="4" t="s">
        <v>27</v>
      </c>
      <c r="H775" s="5">
        <v>76.15</v>
      </c>
      <c r="I775" s="4"/>
      <c r="J775" s="4">
        <f>SUMPRODUCT(--((A775=$A$3:$A$2785)*$H$3:$H$2785&gt;H775))+1</f>
        <v>33</v>
      </c>
    </row>
    <row r="776" s="1" customFormat="true" customHeight="true" spans="1:10">
      <c r="A776" s="4" t="str">
        <f t="shared" si="107"/>
        <v>017</v>
      </c>
      <c r="B776" s="4" t="s">
        <v>29</v>
      </c>
      <c r="C776" s="4" t="str">
        <f>"李艳青"</f>
        <v>李艳青</v>
      </c>
      <c r="D776" s="4" t="str">
        <f>"2021021222"</f>
        <v>2021021222</v>
      </c>
      <c r="E776" s="4" t="str">
        <f>"12"</f>
        <v>12</v>
      </c>
      <c r="F776" s="4" t="str">
        <f>"22"</f>
        <v>22</v>
      </c>
      <c r="G776" s="4" t="s">
        <v>27</v>
      </c>
      <c r="H776" s="5">
        <v>75.65</v>
      </c>
      <c r="I776" s="4"/>
      <c r="J776" s="4">
        <f>SUMPRODUCT(--((A776=$A$3:$A$2785)*$H$3:$H$2785&gt;H776))+1</f>
        <v>34</v>
      </c>
    </row>
    <row r="777" s="1" customFormat="true" customHeight="true" spans="1:10">
      <c r="A777" s="4" t="str">
        <f t="shared" si="107"/>
        <v>017</v>
      </c>
      <c r="B777" s="4" t="s">
        <v>29</v>
      </c>
      <c r="C777" s="4" t="str">
        <f>"陈芳"</f>
        <v>陈芳</v>
      </c>
      <c r="D777" s="4" t="str">
        <f>"2021021330"</f>
        <v>2021021330</v>
      </c>
      <c r="E777" s="4" t="str">
        <f>"13"</f>
        <v>13</v>
      </c>
      <c r="F777" s="4" t="str">
        <f>"30"</f>
        <v>30</v>
      </c>
      <c r="G777" s="4" t="s">
        <v>27</v>
      </c>
      <c r="H777" s="5">
        <v>75.05</v>
      </c>
      <c r="I777" s="4"/>
      <c r="J777" s="4">
        <f>SUMPRODUCT(--((A777=$A$3:$A$2785)*$H$3:$H$2785&gt;H777))+1</f>
        <v>35</v>
      </c>
    </row>
    <row r="778" s="1" customFormat="true" customHeight="true" spans="1:10">
      <c r="A778" s="4" t="str">
        <f t="shared" si="107"/>
        <v>017</v>
      </c>
      <c r="B778" s="4" t="s">
        <v>29</v>
      </c>
      <c r="C778" s="4" t="str">
        <f>"路卓霖"</f>
        <v>路卓霖</v>
      </c>
      <c r="D778" s="4" t="str">
        <f>"2021021318"</f>
        <v>2021021318</v>
      </c>
      <c r="E778" s="4" t="str">
        <f>"13"</f>
        <v>13</v>
      </c>
      <c r="F778" s="4" t="str">
        <f>"18"</f>
        <v>18</v>
      </c>
      <c r="G778" s="4" t="s">
        <v>27</v>
      </c>
      <c r="H778" s="5">
        <v>74.75</v>
      </c>
      <c r="I778" s="4"/>
      <c r="J778" s="4">
        <f>SUMPRODUCT(--((A778=$A$3:$A$2785)*$H$3:$H$2785&gt;H778))+1</f>
        <v>36</v>
      </c>
    </row>
    <row r="779" s="1" customFormat="true" customHeight="true" spans="1:10">
      <c r="A779" s="4" t="str">
        <f t="shared" si="107"/>
        <v>017</v>
      </c>
      <c r="B779" s="4" t="s">
        <v>29</v>
      </c>
      <c r="C779" s="4" t="str">
        <f>"田娜"</f>
        <v>田娜</v>
      </c>
      <c r="D779" s="4" t="str">
        <f>"2021021126"</f>
        <v>2021021126</v>
      </c>
      <c r="E779" s="4" t="str">
        <f>"11"</f>
        <v>11</v>
      </c>
      <c r="F779" s="4" t="str">
        <f>"26"</f>
        <v>26</v>
      </c>
      <c r="G779" s="4" t="s">
        <v>27</v>
      </c>
      <c r="H779" s="5">
        <v>74.7</v>
      </c>
      <c r="I779" s="4"/>
      <c r="J779" s="4">
        <f>SUMPRODUCT(--((A779=$A$3:$A$2785)*$H$3:$H$2785&gt;H779))+1</f>
        <v>37</v>
      </c>
    </row>
    <row r="780" s="1" customFormat="true" customHeight="true" spans="1:10">
      <c r="A780" s="4" t="str">
        <f t="shared" si="107"/>
        <v>017</v>
      </c>
      <c r="B780" s="4" t="s">
        <v>29</v>
      </c>
      <c r="C780" s="4" t="str">
        <f>"曹兴原"</f>
        <v>曹兴原</v>
      </c>
      <c r="D780" s="4" t="str">
        <f>"2021021419"</f>
        <v>2021021419</v>
      </c>
      <c r="E780" s="4" t="str">
        <f>"14"</f>
        <v>14</v>
      </c>
      <c r="F780" s="4" t="str">
        <f>"19"</f>
        <v>19</v>
      </c>
      <c r="G780" s="4" t="s">
        <v>27</v>
      </c>
      <c r="H780" s="5">
        <v>74.65</v>
      </c>
      <c r="I780" s="4"/>
      <c r="J780" s="4">
        <f>SUMPRODUCT(--((A780=$A$3:$A$2785)*$H$3:$H$2785&gt;H780))+1</f>
        <v>38</v>
      </c>
    </row>
    <row r="781" s="1" customFormat="true" customHeight="true" spans="1:10">
      <c r="A781" s="4" t="str">
        <f t="shared" si="107"/>
        <v>017</v>
      </c>
      <c r="B781" s="4" t="s">
        <v>29</v>
      </c>
      <c r="C781" s="4" t="str">
        <f>"兰华叶"</f>
        <v>兰华叶</v>
      </c>
      <c r="D781" s="4" t="str">
        <f>"2021021218"</f>
        <v>2021021218</v>
      </c>
      <c r="E781" s="4" t="str">
        <f t="shared" ref="E781:E784" si="112">"12"</f>
        <v>12</v>
      </c>
      <c r="F781" s="4" t="str">
        <f>"18"</f>
        <v>18</v>
      </c>
      <c r="G781" s="4" t="s">
        <v>27</v>
      </c>
      <c r="H781" s="5">
        <v>72.65</v>
      </c>
      <c r="I781" s="4"/>
      <c r="J781" s="4">
        <f>SUMPRODUCT(--((A781=$A$3:$A$2785)*$H$3:$H$2785&gt;H781))+1</f>
        <v>39</v>
      </c>
    </row>
    <row r="782" s="1" customFormat="true" customHeight="true" spans="1:10">
      <c r="A782" s="4" t="str">
        <f t="shared" si="107"/>
        <v>017</v>
      </c>
      <c r="B782" s="4" t="s">
        <v>29</v>
      </c>
      <c r="C782" s="4" t="str">
        <f>"张久久"</f>
        <v>张久久</v>
      </c>
      <c r="D782" s="4" t="str">
        <f>"2021021425"</f>
        <v>2021021425</v>
      </c>
      <c r="E782" s="4" t="str">
        <f>"14"</f>
        <v>14</v>
      </c>
      <c r="F782" s="4" t="str">
        <f>"25"</f>
        <v>25</v>
      </c>
      <c r="G782" s="4" t="s">
        <v>27</v>
      </c>
      <c r="H782" s="5">
        <v>72.25</v>
      </c>
      <c r="I782" s="4"/>
      <c r="J782" s="4">
        <f>SUMPRODUCT(--((A782=$A$3:$A$2785)*$H$3:$H$2785&gt;H782))+1</f>
        <v>40</v>
      </c>
    </row>
    <row r="783" s="1" customFormat="true" customHeight="true" spans="1:10">
      <c r="A783" s="4" t="str">
        <f t="shared" si="107"/>
        <v>017</v>
      </c>
      <c r="B783" s="4" t="s">
        <v>29</v>
      </c>
      <c r="C783" s="4" t="str">
        <f>"刘韵秋"</f>
        <v>刘韵秋</v>
      </c>
      <c r="D783" s="4" t="str">
        <f>"2021021215"</f>
        <v>2021021215</v>
      </c>
      <c r="E783" s="4" t="str">
        <f t="shared" si="112"/>
        <v>12</v>
      </c>
      <c r="F783" s="4" t="str">
        <f>"15"</f>
        <v>15</v>
      </c>
      <c r="G783" s="4" t="s">
        <v>27</v>
      </c>
      <c r="H783" s="5">
        <v>71.9</v>
      </c>
      <c r="I783" s="4"/>
      <c r="J783" s="4">
        <f>SUMPRODUCT(--((A783=$A$3:$A$2785)*$H$3:$H$2785&gt;H783))+1</f>
        <v>41</v>
      </c>
    </row>
    <row r="784" s="1" customFormat="true" customHeight="true" spans="1:10">
      <c r="A784" s="4" t="str">
        <f t="shared" si="107"/>
        <v>017</v>
      </c>
      <c r="B784" s="4" t="s">
        <v>29</v>
      </c>
      <c r="C784" s="4" t="str">
        <f>"李玲"</f>
        <v>李玲</v>
      </c>
      <c r="D784" s="4" t="str">
        <f>"2021021211"</f>
        <v>2021021211</v>
      </c>
      <c r="E784" s="4" t="str">
        <f t="shared" si="112"/>
        <v>12</v>
      </c>
      <c r="F784" s="4" t="str">
        <f>"11"</f>
        <v>11</v>
      </c>
      <c r="G784" s="4" t="s">
        <v>27</v>
      </c>
      <c r="H784" s="5">
        <v>71.85</v>
      </c>
      <c r="I784" s="4"/>
      <c r="J784" s="4">
        <f>SUMPRODUCT(--((A784=$A$3:$A$2785)*$H$3:$H$2785&gt;H784))+1</f>
        <v>42</v>
      </c>
    </row>
    <row r="785" s="1" customFormat="true" customHeight="true" spans="1:10">
      <c r="A785" s="4" t="str">
        <f t="shared" si="107"/>
        <v>017</v>
      </c>
      <c r="B785" s="4" t="s">
        <v>29</v>
      </c>
      <c r="C785" s="4" t="str">
        <f>"邓斐中"</f>
        <v>邓斐中</v>
      </c>
      <c r="D785" s="4" t="str">
        <f>"2021021321"</f>
        <v>2021021321</v>
      </c>
      <c r="E785" s="4" t="str">
        <f>"13"</f>
        <v>13</v>
      </c>
      <c r="F785" s="4" t="str">
        <f>"21"</f>
        <v>21</v>
      </c>
      <c r="G785" s="4" t="s">
        <v>27</v>
      </c>
      <c r="H785" s="5">
        <v>69.6</v>
      </c>
      <c r="I785" s="4"/>
      <c r="J785" s="4">
        <f>SUMPRODUCT(--((A785=$A$3:$A$2785)*$H$3:$H$2785&gt;H785))+1</f>
        <v>43</v>
      </c>
    </row>
    <row r="786" s="1" customFormat="true" customHeight="true" spans="1:10">
      <c r="A786" s="4" t="str">
        <f t="shared" si="107"/>
        <v>017</v>
      </c>
      <c r="B786" s="4" t="s">
        <v>29</v>
      </c>
      <c r="C786" s="4" t="str">
        <f>"陈小蓉"</f>
        <v>陈小蓉</v>
      </c>
      <c r="D786" s="4" t="str">
        <f>"2021021127"</f>
        <v>2021021127</v>
      </c>
      <c r="E786" s="4" t="str">
        <f>"11"</f>
        <v>11</v>
      </c>
      <c r="F786" s="4" t="str">
        <f>"27"</f>
        <v>27</v>
      </c>
      <c r="G786" s="4" t="s">
        <v>27</v>
      </c>
      <c r="H786" s="5">
        <v>69.15</v>
      </c>
      <c r="I786" s="4"/>
      <c r="J786" s="4">
        <f>SUMPRODUCT(--((A786=$A$3:$A$2785)*$H$3:$H$2785&gt;H786))+1</f>
        <v>44</v>
      </c>
    </row>
    <row r="787" s="1" customFormat="true" customHeight="true" spans="1:10">
      <c r="A787" s="4" t="str">
        <f t="shared" si="107"/>
        <v>017</v>
      </c>
      <c r="B787" s="4" t="s">
        <v>29</v>
      </c>
      <c r="C787" s="4" t="str">
        <f>"李瑶"</f>
        <v>李瑶</v>
      </c>
      <c r="D787" s="4" t="str">
        <f>"2021021208"</f>
        <v>2021021208</v>
      </c>
      <c r="E787" s="4" t="str">
        <f>"12"</f>
        <v>12</v>
      </c>
      <c r="F787" s="4" t="str">
        <f>"08"</f>
        <v>08</v>
      </c>
      <c r="G787" s="4" t="s">
        <v>27</v>
      </c>
      <c r="H787" s="5">
        <v>69.05</v>
      </c>
      <c r="I787" s="4"/>
      <c r="J787" s="4">
        <f>SUMPRODUCT(--((A787=$A$3:$A$2785)*$H$3:$H$2785&gt;H787))+1</f>
        <v>45</v>
      </c>
    </row>
    <row r="788" s="1" customFormat="true" customHeight="true" spans="1:10">
      <c r="A788" s="4" t="str">
        <f t="shared" si="107"/>
        <v>017</v>
      </c>
      <c r="B788" s="4" t="s">
        <v>29</v>
      </c>
      <c r="C788" s="4" t="str">
        <f>"王丽丽"</f>
        <v>王丽丽</v>
      </c>
      <c r="D788" s="4" t="str">
        <f>"2021021412"</f>
        <v>2021021412</v>
      </c>
      <c r="E788" s="4" t="str">
        <f>"14"</f>
        <v>14</v>
      </c>
      <c r="F788" s="4" t="str">
        <f>"12"</f>
        <v>12</v>
      </c>
      <c r="G788" s="4" t="s">
        <v>27</v>
      </c>
      <c r="H788" s="5">
        <v>68.85</v>
      </c>
      <c r="I788" s="4"/>
      <c r="J788" s="4">
        <f>SUMPRODUCT(--((A788=$A$3:$A$2785)*$H$3:$H$2785&gt;H788))+1</f>
        <v>46</v>
      </c>
    </row>
    <row r="789" s="1" customFormat="true" customHeight="true" spans="1:10">
      <c r="A789" s="4" t="str">
        <f t="shared" si="107"/>
        <v>017</v>
      </c>
      <c r="B789" s="4" t="s">
        <v>29</v>
      </c>
      <c r="C789" s="4" t="str">
        <f>"李莎莎"</f>
        <v>李莎莎</v>
      </c>
      <c r="D789" s="4" t="str">
        <f>"2021021128"</f>
        <v>2021021128</v>
      </c>
      <c r="E789" s="4" t="str">
        <f>"11"</f>
        <v>11</v>
      </c>
      <c r="F789" s="4" t="str">
        <f>"28"</f>
        <v>28</v>
      </c>
      <c r="G789" s="4" t="s">
        <v>27</v>
      </c>
      <c r="H789" s="5">
        <v>68.5</v>
      </c>
      <c r="I789" s="4"/>
      <c r="J789" s="4">
        <f>SUMPRODUCT(--((A789=$A$3:$A$2785)*$H$3:$H$2785&gt;H789))+1</f>
        <v>47</v>
      </c>
    </row>
    <row r="790" s="1" customFormat="true" customHeight="true" spans="1:10">
      <c r="A790" s="4" t="str">
        <f t="shared" si="107"/>
        <v>017</v>
      </c>
      <c r="B790" s="4" t="s">
        <v>29</v>
      </c>
      <c r="C790" s="4" t="str">
        <f>"尹如意"</f>
        <v>尹如意</v>
      </c>
      <c r="D790" s="4" t="str">
        <f>"2021021229"</f>
        <v>2021021229</v>
      </c>
      <c r="E790" s="4" t="str">
        <f>"12"</f>
        <v>12</v>
      </c>
      <c r="F790" s="4" t="str">
        <f>"29"</f>
        <v>29</v>
      </c>
      <c r="G790" s="4" t="s">
        <v>27</v>
      </c>
      <c r="H790" s="5">
        <v>68.25</v>
      </c>
      <c r="I790" s="4"/>
      <c r="J790" s="4">
        <f>SUMPRODUCT(--((A790=$A$3:$A$2785)*$H$3:$H$2785&gt;H790))+1</f>
        <v>48</v>
      </c>
    </row>
    <row r="791" s="1" customFormat="true" customHeight="true" spans="1:10">
      <c r="A791" s="4" t="str">
        <f t="shared" si="107"/>
        <v>017</v>
      </c>
      <c r="B791" s="4" t="s">
        <v>29</v>
      </c>
      <c r="C791" s="4" t="str">
        <f>"田筱晗"</f>
        <v>田筱晗</v>
      </c>
      <c r="D791" s="4" t="str">
        <f>"2021021317"</f>
        <v>2021021317</v>
      </c>
      <c r="E791" s="4" t="str">
        <f>"13"</f>
        <v>13</v>
      </c>
      <c r="F791" s="4" t="str">
        <f>"17"</f>
        <v>17</v>
      </c>
      <c r="G791" s="4" t="s">
        <v>27</v>
      </c>
      <c r="H791" s="5">
        <v>68.1</v>
      </c>
      <c r="I791" s="4"/>
      <c r="J791" s="4">
        <f>SUMPRODUCT(--((A791=$A$3:$A$2785)*$H$3:$H$2785&gt;H791))+1</f>
        <v>49</v>
      </c>
    </row>
    <row r="792" s="1" customFormat="true" customHeight="true" spans="1:10">
      <c r="A792" s="4" t="str">
        <f t="shared" si="107"/>
        <v>017</v>
      </c>
      <c r="B792" s="4" t="s">
        <v>29</v>
      </c>
      <c r="C792" s="4" t="str">
        <f>"唐柯蒙"</f>
        <v>唐柯蒙</v>
      </c>
      <c r="D792" s="4" t="str">
        <f>"2021021124"</f>
        <v>2021021124</v>
      </c>
      <c r="E792" s="4" t="str">
        <f>"11"</f>
        <v>11</v>
      </c>
      <c r="F792" s="4" t="str">
        <f>"24"</f>
        <v>24</v>
      </c>
      <c r="G792" s="4" t="s">
        <v>27</v>
      </c>
      <c r="H792" s="5">
        <v>67.7</v>
      </c>
      <c r="I792" s="4"/>
      <c r="J792" s="4">
        <f>SUMPRODUCT(--((A792=$A$3:$A$2785)*$H$3:$H$2785&gt;H792))+1</f>
        <v>50</v>
      </c>
    </row>
    <row r="793" s="1" customFormat="true" customHeight="true" spans="1:10">
      <c r="A793" s="4" t="str">
        <f t="shared" si="107"/>
        <v>017</v>
      </c>
      <c r="B793" s="4" t="s">
        <v>29</v>
      </c>
      <c r="C793" s="4" t="str">
        <f>"郑亦程"</f>
        <v>郑亦程</v>
      </c>
      <c r="D793" s="4" t="str">
        <f>"2021021521"</f>
        <v>2021021521</v>
      </c>
      <c r="E793" s="4" t="str">
        <f>"15"</f>
        <v>15</v>
      </c>
      <c r="F793" s="4" t="str">
        <f>"21"</f>
        <v>21</v>
      </c>
      <c r="G793" s="4" t="s">
        <v>27</v>
      </c>
      <c r="H793" s="5">
        <v>66.8</v>
      </c>
      <c r="I793" s="4"/>
      <c r="J793" s="4">
        <f>SUMPRODUCT(--((A793=$A$3:$A$2785)*$H$3:$H$2785&gt;H793))+1</f>
        <v>51</v>
      </c>
    </row>
    <row r="794" s="1" customFormat="true" customHeight="true" spans="1:10">
      <c r="A794" s="4" t="str">
        <f t="shared" si="107"/>
        <v>017</v>
      </c>
      <c r="B794" s="4" t="s">
        <v>29</v>
      </c>
      <c r="C794" s="4" t="str">
        <f>"卢东琦"</f>
        <v>卢东琦</v>
      </c>
      <c r="D794" s="4" t="str">
        <f>"2021021421"</f>
        <v>2021021421</v>
      </c>
      <c r="E794" s="4" t="str">
        <f>"14"</f>
        <v>14</v>
      </c>
      <c r="F794" s="4" t="str">
        <f>"21"</f>
        <v>21</v>
      </c>
      <c r="G794" s="4" t="s">
        <v>27</v>
      </c>
      <c r="H794" s="5">
        <v>66.25</v>
      </c>
      <c r="I794" s="4"/>
      <c r="J794" s="4">
        <f>SUMPRODUCT(--((A794=$A$3:$A$2785)*$H$3:$H$2785&gt;H794))+1</f>
        <v>52</v>
      </c>
    </row>
    <row r="795" s="1" customFormat="true" customHeight="true" spans="1:10">
      <c r="A795" s="4" t="str">
        <f t="shared" si="107"/>
        <v>017</v>
      </c>
      <c r="B795" s="4" t="s">
        <v>29</v>
      </c>
      <c r="C795" s="4" t="str">
        <f>"甄梦洋"</f>
        <v>甄梦洋</v>
      </c>
      <c r="D795" s="4" t="str">
        <f>"2021021329"</f>
        <v>2021021329</v>
      </c>
      <c r="E795" s="4" t="str">
        <f>"13"</f>
        <v>13</v>
      </c>
      <c r="F795" s="4" t="str">
        <f>"29"</f>
        <v>29</v>
      </c>
      <c r="G795" s="4" t="s">
        <v>27</v>
      </c>
      <c r="H795" s="5">
        <v>65.35</v>
      </c>
      <c r="I795" s="4"/>
      <c r="J795" s="4">
        <f>SUMPRODUCT(--((A795=$A$3:$A$2785)*$H$3:$H$2785&gt;H795))+1</f>
        <v>53</v>
      </c>
    </row>
    <row r="796" s="1" customFormat="true" customHeight="true" spans="1:10">
      <c r="A796" s="4" t="str">
        <f t="shared" si="107"/>
        <v>017</v>
      </c>
      <c r="B796" s="4" t="s">
        <v>29</v>
      </c>
      <c r="C796" s="4" t="str">
        <f>"周碗萍"</f>
        <v>周碗萍</v>
      </c>
      <c r="D796" s="4" t="str">
        <f>"2021021404"</f>
        <v>2021021404</v>
      </c>
      <c r="E796" s="4" t="str">
        <f>"14"</f>
        <v>14</v>
      </c>
      <c r="F796" s="4" t="str">
        <f>"04"</f>
        <v>04</v>
      </c>
      <c r="G796" s="4" t="s">
        <v>27</v>
      </c>
      <c r="H796" s="5">
        <v>65.1</v>
      </c>
      <c r="I796" s="4"/>
      <c r="J796" s="4">
        <f>SUMPRODUCT(--((A796=$A$3:$A$2785)*$H$3:$H$2785&gt;H796))+1</f>
        <v>54</v>
      </c>
    </row>
    <row r="797" s="1" customFormat="true" customHeight="true" spans="1:10">
      <c r="A797" s="4" t="str">
        <f t="shared" si="107"/>
        <v>017</v>
      </c>
      <c r="B797" s="4" t="s">
        <v>29</v>
      </c>
      <c r="C797" s="4" t="str">
        <f>"张晴"</f>
        <v>张晴</v>
      </c>
      <c r="D797" s="4" t="str">
        <f>"2021021206"</f>
        <v>2021021206</v>
      </c>
      <c r="E797" s="4" t="str">
        <f t="shared" ref="E797:E816" si="113">"12"</f>
        <v>12</v>
      </c>
      <c r="F797" s="4" t="str">
        <f>"06"</f>
        <v>06</v>
      </c>
      <c r="G797" s="4" t="s">
        <v>27</v>
      </c>
      <c r="H797" s="5">
        <v>57.05</v>
      </c>
      <c r="I797" s="4"/>
      <c r="J797" s="4">
        <f>SUMPRODUCT(--((A797=$A$3:$A$2785)*$H$3:$H$2785&gt;H797))+1</f>
        <v>55</v>
      </c>
    </row>
    <row r="798" s="1" customFormat="true" customHeight="true" spans="1:10">
      <c r="A798" s="4" t="str">
        <f t="shared" si="107"/>
        <v>017</v>
      </c>
      <c r="B798" s="4" t="s">
        <v>29</v>
      </c>
      <c r="C798" s="4" t="str">
        <f>"吴梅婷"</f>
        <v>吴梅婷</v>
      </c>
      <c r="D798" s="4" t="str">
        <f>"2021021214"</f>
        <v>2021021214</v>
      </c>
      <c r="E798" s="4" t="str">
        <f t="shared" si="113"/>
        <v>12</v>
      </c>
      <c r="F798" s="4" t="str">
        <f>"14"</f>
        <v>14</v>
      </c>
      <c r="G798" s="4" t="s">
        <v>27</v>
      </c>
      <c r="H798" s="5">
        <v>55.75</v>
      </c>
      <c r="I798" s="4"/>
      <c r="J798" s="4">
        <f>SUMPRODUCT(--((A798=$A$3:$A$2785)*$H$3:$H$2785&gt;H798))+1</f>
        <v>56</v>
      </c>
    </row>
    <row r="799" s="1" customFormat="true" customHeight="true" spans="1:10">
      <c r="A799" s="4" t="str">
        <f t="shared" si="107"/>
        <v>017</v>
      </c>
      <c r="B799" s="4" t="s">
        <v>29</v>
      </c>
      <c r="C799" s="4" t="str">
        <f>"寻健科"</f>
        <v>寻健科</v>
      </c>
      <c r="D799" s="4" t="str">
        <f>"2021021326"</f>
        <v>2021021326</v>
      </c>
      <c r="E799" s="4" t="str">
        <f>"13"</f>
        <v>13</v>
      </c>
      <c r="F799" s="4" t="str">
        <f>"26"</f>
        <v>26</v>
      </c>
      <c r="G799" s="4" t="s">
        <v>27</v>
      </c>
      <c r="H799" s="5">
        <v>48.5</v>
      </c>
      <c r="I799" s="4"/>
      <c r="J799" s="4">
        <f>SUMPRODUCT(--((A799=$A$3:$A$2785)*$H$3:$H$2785&gt;H799))+1</f>
        <v>57</v>
      </c>
    </row>
    <row r="800" s="1" customFormat="true" customHeight="true" spans="1:10">
      <c r="A800" s="4" t="str">
        <f t="shared" si="107"/>
        <v>017</v>
      </c>
      <c r="B800" s="4" t="s">
        <v>29</v>
      </c>
      <c r="C800" s="4" t="str">
        <f>"杨丽"</f>
        <v>杨丽</v>
      </c>
      <c r="D800" s="4" t="str">
        <f>"2021021418"</f>
        <v>2021021418</v>
      </c>
      <c r="E800" s="4" t="str">
        <f>"14"</f>
        <v>14</v>
      </c>
      <c r="F800" s="4" t="str">
        <f>"18"</f>
        <v>18</v>
      </c>
      <c r="G800" s="4" t="s">
        <v>27</v>
      </c>
      <c r="H800" s="5">
        <v>35.8</v>
      </c>
      <c r="I800" s="4"/>
      <c r="J800" s="4">
        <f>SUMPRODUCT(--((A800=$A$3:$A$2785)*$H$3:$H$2785&gt;H800))+1</f>
        <v>58</v>
      </c>
    </row>
    <row r="801" s="1" customFormat="true" customHeight="true" spans="1:10">
      <c r="A801" s="4" t="str">
        <f t="shared" si="107"/>
        <v>017</v>
      </c>
      <c r="B801" s="4" t="s">
        <v>29</v>
      </c>
      <c r="C801" s="4" t="str">
        <f>"罗敏"</f>
        <v>罗敏</v>
      </c>
      <c r="D801" s="4" t="str">
        <f>"2021021202"</f>
        <v>2021021202</v>
      </c>
      <c r="E801" s="4" t="str">
        <f t="shared" si="113"/>
        <v>12</v>
      </c>
      <c r="F801" s="4" t="str">
        <f>"02"</f>
        <v>02</v>
      </c>
      <c r="G801" s="4" t="s">
        <v>27</v>
      </c>
      <c r="H801" s="5">
        <v>0</v>
      </c>
      <c r="I801" s="6" t="s">
        <v>13</v>
      </c>
      <c r="J801" s="4">
        <f>SUMPRODUCT(--((A801=$A$3:$A$2785)*$H$3:$H$2785&gt;H801))+1</f>
        <v>59</v>
      </c>
    </row>
    <row r="802" s="1" customFormat="true" customHeight="true" spans="1:10">
      <c r="A802" s="4" t="str">
        <f t="shared" si="107"/>
        <v>017</v>
      </c>
      <c r="B802" s="4" t="s">
        <v>29</v>
      </c>
      <c r="C802" s="4" t="str">
        <f>"唐学琴"</f>
        <v>唐学琴</v>
      </c>
      <c r="D802" s="4" t="str">
        <f>"2021021204"</f>
        <v>2021021204</v>
      </c>
      <c r="E802" s="4" t="str">
        <f t="shared" si="113"/>
        <v>12</v>
      </c>
      <c r="F802" s="4" t="str">
        <f>"04"</f>
        <v>04</v>
      </c>
      <c r="G802" s="4" t="s">
        <v>27</v>
      </c>
      <c r="H802" s="5">
        <v>0</v>
      </c>
      <c r="I802" s="6" t="s">
        <v>13</v>
      </c>
      <c r="J802" s="4">
        <f>SUMPRODUCT(--((A802=$A$3:$A$2785)*$H$3:$H$2785&gt;H802))+1</f>
        <v>59</v>
      </c>
    </row>
    <row r="803" s="1" customFormat="true" customHeight="true" spans="1:10">
      <c r="A803" s="4" t="str">
        <f t="shared" si="107"/>
        <v>017</v>
      </c>
      <c r="B803" s="4" t="s">
        <v>29</v>
      </c>
      <c r="C803" s="4" t="str">
        <f>"唐忠芳"</f>
        <v>唐忠芳</v>
      </c>
      <c r="D803" s="4" t="str">
        <f>"2021021207"</f>
        <v>2021021207</v>
      </c>
      <c r="E803" s="4" t="str">
        <f t="shared" si="113"/>
        <v>12</v>
      </c>
      <c r="F803" s="4" t="str">
        <f>"07"</f>
        <v>07</v>
      </c>
      <c r="G803" s="4" t="s">
        <v>27</v>
      </c>
      <c r="H803" s="5">
        <v>0</v>
      </c>
      <c r="I803" s="6" t="s">
        <v>13</v>
      </c>
      <c r="J803" s="4">
        <f>SUMPRODUCT(--((A803=$A$3:$A$2785)*$H$3:$H$2785&gt;H803))+1</f>
        <v>59</v>
      </c>
    </row>
    <row r="804" s="1" customFormat="true" customHeight="true" spans="1:10">
      <c r="A804" s="4" t="str">
        <f t="shared" si="107"/>
        <v>017</v>
      </c>
      <c r="B804" s="4" t="s">
        <v>29</v>
      </c>
      <c r="C804" s="4" t="str">
        <f>"刘驰宇"</f>
        <v>刘驰宇</v>
      </c>
      <c r="D804" s="4" t="str">
        <f>"2021021210"</f>
        <v>2021021210</v>
      </c>
      <c r="E804" s="4" t="str">
        <f t="shared" si="113"/>
        <v>12</v>
      </c>
      <c r="F804" s="4" t="str">
        <f>"10"</f>
        <v>10</v>
      </c>
      <c r="G804" s="4" t="s">
        <v>27</v>
      </c>
      <c r="H804" s="5">
        <v>0</v>
      </c>
      <c r="I804" s="6" t="s">
        <v>13</v>
      </c>
      <c r="J804" s="4">
        <f>SUMPRODUCT(--((A804=$A$3:$A$2785)*$H$3:$H$2785&gt;H804))+1</f>
        <v>59</v>
      </c>
    </row>
    <row r="805" s="1" customFormat="true" customHeight="true" spans="1:10">
      <c r="A805" s="4" t="str">
        <f t="shared" si="107"/>
        <v>017</v>
      </c>
      <c r="B805" s="4" t="s">
        <v>29</v>
      </c>
      <c r="C805" s="4" t="str">
        <f>"李欣哲"</f>
        <v>李欣哲</v>
      </c>
      <c r="D805" s="4" t="str">
        <f>"2021021212"</f>
        <v>2021021212</v>
      </c>
      <c r="E805" s="4" t="str">
        <f t="shared" si="113"/>
        <v>12</v>
      </c>
      <c r="F805" s="4" t="str">
        <f>"12"</f>
        <v>12</v>
      </c>
      <c r="G805" s="4" t="s">
        <v>27</v>
      </c>
      <c r="H805" s="5">
        <v>0</v>
      </c>
      <c r="I805" s="6" t="s">
        <v>13</v>
      </c>
      <c r="J805" s="4">
        <f>SUMPRODUCT(--((A805=$A$3:$A$2785)*$H$3:$H$2785&gt;H805))+1</f>
        <v>59</v>
      </c>
    </row>
    <row r="806" s="1" customFormat="true" customHeight="true" spans="1:10">
      <c r="A806" s="4" t="str">
        <f t="shared" si="107"/>
        <v>017</v>
      </c>
      <c r="B806" s="4" t="s">
        <v>29</v>
      </c>
      <c r="C806" s="4" t="str">
        <f>"邓盛"</f>
        <v>邓盛</v>
      </c>
      <c r="D806" s="4" t="str">
        <f>"2021021217"</f>
        <v>2021021217</v>
      </c>
      <c r="E806" s="4" t="str">
        <f t="shared" si="113"/>
        <v>12</v>
      </c>
      <c r="F806" s="4" t="str">
        <f>"17"</f>
        <v>17</v>
      </c>
      <c r="G806" s="4" t="s">
        <v>27</v>
      </c>
      <c r="H806" s="5">
        <v>0</v>
      </c>
      <c r="I806" s="6" t="s">
        <v>13</v>
      </c>
      <c r="J806" s="4">
        <f>SUMPRODUCT(--((A806=$A$3:$A$2785)*$H$3:$H$2785&gt;H806))+1</f>
        <v>59</v>
      </c>
    </row>
    <row r="807" s="1" customFormat="true" customHeight="true" spans="1:10">
      <c r="A807" s="4" t="str">
        <f t="shared" ref="A807:A860" si="114">"017"</f>
        <v>017</v>
      </c>
      <c r="B807" s="4" t="s">
        <v>29</v>
      </c>
      <c r="C807" s="4" t="str">
        <f>"黄亚青"</f>
        <v>黄亚青</v>
      </c>
      <c r="D807" s="4" t="str">
        <f>"2021021219"</f>
        <v>2021021219</v>
      </c>
      <c r="E807" s="4" t="str">
        <f t="shared" si="113"/>
        <v>12</v>
      </c>
      <c r="F807" s="4" t="str">
        <f>"19"</f>
        <v>19</v>
      </c>
      <c r="G807" s="4" t="s">
        <v>27</v>
      </c>
      <c r="H807" s="5">
        <v>0</v>
      </c>
      <c r="I807" s="6" t="s">
        <v>13</v>
      </c>
      <c r="J807" s="4">
        <f>SUMPRODUCT(--((A807=$A$3:$A$2785)*$H$3:$H$2785&gt;H807))+1</f>
        <v>59</v>
      </c>
    </row>
    <row r="808" s="1" customFormat="true" customHeight="true" spans="1:10">
      <c r="A808" s="4" t="str">
        <f t="shared" si="114"/>
        <v>017</v>
      </c>
      <c r="B808" s="4" t="s">
        <v>29</v>
      </c>
      <c r="C808" s="4" t="str">
        <f>"肖之琳"</f>
        <v>肖之琳</v>
      </c>
      <c r="D808" s="4" t="str">
        <f>"2021021220"</f>
        <v>2021021220</v>
      </c>
      <c r="E808" s="4" t="str">
        <f t="shared" si="113"/>
        <v>12</v>
      </c>
      <c r="F808" s="4" t="str">
        <f>"20"</f>
        <v>20</v>
      </c>
      <c r="G808" s="4" t="s">
        <v>27</v>
      </c>
      <c r="H808" s="5">
        <v>0</v>
      </c>
      <c r="I808" s="6" t="s">
        <v>13</v>
      </c>
      <c r="J808" s="4">
        <f>SUMPRODUCT(--((A808=$A$3:$A$2785)*$H$3:$H$2785&gt;H808))+1</f>
        <v>59</v>
      </c>
    </row>
    <row r="809" s="1" customFormat="true" customHeight="true" spans="1:10">
      <c r="A809" s="4" t="str">
        <f t="shared" si="114"/>
        <v>017</v>
      </c>
      <c r="B809" s="4" t="s">
        <v>29</v>
      </c>
      <c r="C809" s="4" t="str">
        <f>"李铃"</f>
        <v>李铃</v>
      </c>
      <c r="D809" s="4" t="str">
        <f>"2021021221"</f>
        <v>2021021221</v>
      </c>
      <c r="E809" s="4" t="str">
        <f t="shared" si="113"/>
        <v>12</v>
      </c>
      <c r="F809" s="4" t="str">
        <f>"21"</f>
        <v>21</v>
      </c>
      <c r="G809" s="4" t="s">
        <v>27</v>
      </c>
      <c r="H809" s="5">
        <v>0</v>
      </c>
      <c r="I809" s="6" t="s">
        <v>13</v>
      </c>
      <c r="J809" s="4">
        <f>SUMPRODUCT(--((A809=$A$3:$A$2785)*$H$3:$H$2785&gt;H809))+1</f>
        <v>59</v>
      </c>
    </row>
    <row r="810" s="1" customFormat="true" customHeight="true" spans="1:10">
      <c r="A810" s="4" t="str">
        <f t="shared" si="114"/>
        <v>017</v>
      </c>
      <c r="B810" s="4" t="s">
        <v>29</v>
      </c>
      <c r="C810" s="4" t="str">
        <f>"黎露"</f>
        <v>黎露</v>
      </c>
      <c r="D810" s="4" t="str">
        <f>"2021021223"</f>
        <v>2021021223</v>
      </c>
      <c r="E810" s="4" t="str">
        <f t="shared" si="113"/>
        <v>12</v>
      </c>
      <c r="F810" s="4" t="str">
        <f>"23"</f>
        <v>23</v>
      </c>
      <c r="G810" s="4" t="s">
        <v>27</v>
      </c>
      <c r="H810" s="5">
        <v>0</v>
      </c>
      <c r="I810" s="6" t="s">
        <v>13</v>
      </c>
      <c r="J810" s="4">
        <f>SUMPRODUCT(--((A810=$A$3:$A$2785)*$H$3:$H$2785&gt;H810))+1</f>
        <v>59</v>
      </c>
    </row>
    <row r="811" s="1" customFormat="true" customHeight="true" spans="1:10">
      <c r="A811" s="4" t="str">
        <f t="shared" si="114"/>
        <v>017</v>
      </c>
      <c r="B811" s="4" t="s">
        <v>29</v>
      </c>
      <c r="C811" s="4" t="str">
        <f>"陈胜利"</f>
        <v>陈胜利</v>
      </c>
      <c r="D811" s="4" t="str">
        <f>"2021021224"</f>
        <v>2021021224</v>
      </c>
      <c r="E811" s="4" t="str">
        <f t="shared" si="113"/>
        <v>12</v>
      </c>
      <c r="F811" s="4" t="str">
        <f>"24"</f>
        <v>24</v>
      </c>
      <c r="G811" s="4" t="s">
        <v>27</v>
      </c>
      <c r="H811" s="5">
        <v>0</v>
      </c>
      <c r="I811" s="6" t="s">
        <v>13</v>
      </c>
      <c r="J811" s="4">
        <f>SUMPRODUCT(--((A811=$A$3:$A$2785)*$H$3:$H$2785&gt;H811))+1</f>
        <v>59</v>
      </c>
    </row>
    <row r="812" s="1" customFormat="true" customHeight="true" spans="1:10">
      <c r="A812" s="4" t="str">
        <f t="shared" si="114"/>
        <v>017</v>
      </c>
      <c r="B812" s="4" t="s">
        <v>29</v>
      </c>
      <c r="C812" s="4" t="str">
        <f>"金梅梅"</f>
        <v>金梅梅</v>
      </c>
      <c r="D812" s="4" t="str">
        <f>"2021021225"</f>
        <v>2021021225</v>
      </c>
      <c r="E812" s="4" t="str">
        <f t="shared" si="113"/>
        <v>12</v>
      </c>
      <c r="F812" s="4" t="str">
        <f>"25"</f>
        <v>25</v>
      </c>
      <c r="G812" s="4" t="s">
        <v>27</v>
      </c>
      <c r="H812" s="5">
        <v>0</v>
      </c>
      <c r="I812" s="6" t="s">
        <v>13</v>
      </c>
      <c r="J812" s="4">
        <f>SUMPRODUCT(--((A812=$A$3:$A$2785)*$H$3:$H$2785&gt;H812))+1</f>
        <v>59</v>
      </c>
    </row>
    <row r="813" s="1" customFormat="true" customHeight="true" spans="1:10">
      <c r="A813" s="4" t="str">
        <f t="shared" si="114"/>
        <v>017</v>
      </c>
      <c r="B813" s="4" t="s">
        <v>29</v>
      </c>
      <c r="C813" s="4" t="str">
        <f>"陈薪如"</f>
        <v>陈薪如</v>
      </c>
      <c r="D813" s="4" t="str">
        <f>"2021021226"</f>
        <v>2021021226</v>
      </c>
      <c r="E813" s="4" t="str">
        <f t="shared" si="113"/>
        <v>12</v>
      </c>
      <c r="F813" s="4" t="str">
        <f>"26"</f>
        <v>26</v>
      </c>
      <c r="G813" s="4" t="s">
        <v>27</v>
      </c>
      <c r="H813" s="5">
        <v>0</v>
      </c>
      <c r="I813" s="6" t="s">
        <v>13</v>
      </c>
      <c r="J813" s="4">
        <f>SUMPRODUCT(--((A813=$A$3:$A$2785)*$H$3:$H$2785&gt;H813))+1</f>
        <v>59</v>
      </c>
    </row>
    <row r="814" s="1" customFormat="true" customHeight="true" spans="1:10">
      <c r="A814" s="4" t="str">
        <f t="shared" si="114"/>
        <v>017</v>
      </c>
      <c r="B814" s="4" t="s">
        <v>29</v>
      </c>
      <c r="C814" s="4" t="str">
        <f>"夏春"</f>
        <v>夏春</v>
      </c>
      <c r="D814" s="4" t="str">
        <f>"2021021227"</f>
        <v>2021021227</v>
      </c>
      <c r="E814" s="4" t="str">
        <f t="shared" si="113"/>
        <v>12</v>
      </c>
      <c r="F814" s="4" t="str">
        <f>"27"</f>
        <v>27</v>
      </c>
      <c r="G814" s="4" t="s">
        <v>27</v>
      </c>
      <c r="H814" s="5">
        <v>0</v>
      </c>
      <c r="I814" s="6" t="s">
        <v>13</v>
      </c>
      <c r="J814" s="4">
        <f>SUMPRODUCT(--((A814=$A$3:$A$2785)*$H$3:$H$2785&gt;H814))+1</f>
        <v>59</v>
      </c>
    </row>
    <row r="815" s="1" customFormat="true" customHeight="true" spans="1:10">
      <c r="A815" s="4" t="str">
        <f t="shared" si="114"/>
        <v>017</v>
      </c>
      <c r="B815" s="4" t="s">
        <v>29</v>
      </c>
      <c r="C815" s="4" t="str">
        <f>"袁雯迪"</f>
        <v>袁雯迪</v>
      </c>
      <c r="D815" s="4" t="str">
        <f>"2021021228"</f>
        <v>2021021228</v>
      </c>
      <c r="E815" s="4" t="str">
        <f t="shared" si="113"/>
        <v>12</v>
      </c>
      <c r="F815" s="4" t="str">
        <f>"28"</f>
        <v>28</v>
      </c>
      <c r="G815" s="4" t="s">
        <v>27</v>
      </c>
      <c r="H815" s="5">
        <v>0</v>
      </c>
      <c r="I815" s="6" t="s">
        <v>13</v>
      </c>
      <c r="J815" s="4">
        <f>SUMPRODUCT(--((A815=$A$3:$A$2785)*$H$3:$H$2785&gt;H815))+1</f>
        <v>59</v>
      </c>
    </row>
    <row r="816" s="1" customFormat="true" customHeight="true" spans="1:10">
      <c r="A816" s="4" t="str">
        <f t="shared" si="114"/>
        <v>017</v>
      </c>
      <c r="B816" s="4" t="s">
        <v>29</v>
      </c>
      <c r="C816" s="4" t="str">
        <f>"张江华"</f>
        <v>张江华</v>
      </c>
      <c r="D816" s="4" t="str">
        <f>"2021021230"</f>
        <v>2021021230</v>
      </c>
      <c r="E816" s="4" t="str">
        <f t="shared" si="113"/>
        <v>12</v>
      </c>
      <c r="F816" s="4" t="str">
        <f>"30"</f>
        <v>30</v>
      </c>
      <c r="G816" s="4" t="s">
        <v>27</v>
      </c>
      <c r="H816" s="5">
        <v>0</v>
      </c>
      <c r="I816" s="6" t="s">
        <v>13</v>
      </c>
      <c r="J816" s="4">
        <f>SUMPRODUCT(--((A816=$A$3:$A$2785)*$H$3:$H$2785&gt;H816))+1</f>
        <v>59</v>
      </c>
    </row>
    <row r="817" s="1" customFormat="true" customHeight="true" spans="1:10">
      <c r="A817" s="4" t="str">
        <f t="shared" si="114"/>
        <v>017</v>
      </c>
      <c r="B817" s="4" t="s">
        <v>29</v>
      </c>
      <c r="C817" s="4" t="str">
        <f>"张婷"</f>
        <v>张婷</v>
      </c>
      <c r="D817" s="4" t="str">
        <f>"2021021301"</f>
        <v>2021021301</v>
      </c>
      <c r="E817" s="4" t="str">
        <f t="shared" ref="E817:E832" si="115">"13"</f>
        <v>13</v>
      </c>
      <c r="F817" s="4" t="str">
        <f>"01"</f>
        <v>01</v>
      </c>
      <c r="G817" s="4" t="s">
        <v>27</v>
      </c>
      <c r="H817" s="5">
        <v>0</v>
      </c>
      <c r="I817" s="6" t="s">
        <v>13</v>
      </c>
      <c r="J817" s="4">
        <f>SUMPRODUCT(--((A817=$A$3:$A$2785)*$H$3:$H$2785&gt;H817))+1</f>
        <v>59</v>
      </c>
    </row>
    <row r="818" s="1" customFormat="true" customHeight="true" spans="1:10">
      <c r="A818" s="4" t="str">
        <f t="shared" si="114"/>
        <v>017</v>
      </c>
      <c r="B818" s="4" t="s">
        <v>29</v>
      </c>
      <c r="C818" s="4" t="str">
        <f>"袁慧敏"</f>
        <v>袁慧敏</v>
      </c>
      <c r="D818" s="4" t="str">
        <f>"2021021302"</f>
        <v>2021021302</v>
      </c>
      <c r="E818" s="4" t="str">
        <f t="shared" si="115"/>
        <v>13</v>
      </c>
      <c r="F818" s="4" t="str">
        <f>"02"</f>
        <v>02</v>
      </c>
      <c r="G818" s="4" t="s">
        <v>27</v>
      </c>
      <c r="H818" s="5">
        <v>0</v>
      </c>
      <c r="I818" s="6" t="s">
        <v>13</v>
      </c>
      <c r="J818" s="4">
        <f>SUMPRODUCT(--((A818=$A$3:$A$2785)*$H$3:$H$2785&gt;H818))+1</f>
        <v>59</v>
      </c>
    </row>
    <row r="819" s="1" customFormat="true" customHeight="true" spans="1:10">
      <c r="A819" s="4" t="str">
        <f t="shared" si="114"/>
        <v>017</v>
      </c>
      <c r="B819" s="4" t="s">
        <v>29</v>
      </c>
      <c r="C819" s="4" t="str">
        <f>"杨雅琪"</f>
        <v>杨雅琪</v>
      </c>
      <c r="D819" s="4" t="str">
        <f>"2021021304"</f>
        <v>2021021304</v>
      </c>
      <c r="E819" s="4" t="str">
        <f t="shared" si="115"/>
        <v>13</v>
      </c>
      <c r="F819" s="4" t="str">
        <f>"04"</f>
        <v>04</v>
      </c>
      <c r="G819" s="4" t="s">
        <v>27</v>
      </c>
      <c r="H819" s="5">
        <v>0</v>
      </c>
      <c r="I819" s="6" t="s">
        <v>13</v>
      </c>
      <c r="J819" s="4">
        <f>SUMPRODUCT(--((A819=$A$3:$A$2785)*$H$3:$H$2785&gt;H819))+1</f>
        <v>59</v>
      </c>
    </row>
    <row r="820" s="1" customFormat="true" customHeight="true" spans="1:10">
      <c r="A820" s="4" t="str">
        <f t="shared" si="114"/>
        <v>017</v>
      </c>
      <c r="B820" s="4" t="s">
        <v>29</v>
      </c>
      <c r="C820" s="4" t="str">
        <f>"陈思缘"</f>
        <v>陈思缘</v>
      </c>
      <c r="D820" s="4" t="str">
        <f>"2021021307"</f>
        <v>2021021307</v>
      </c>
      <c r="E820" s="4" t="str">
        <f t="shared" si="115"/>
        <v>13</v>
      </c>
      <c r="F820" s="4" t="str">
        <f>"07"</f>
        <v>07</v>
      </c>
      <c r="G820" s="4" t="s">
        <v>27</v>
      </c>
      <c r="H820" s="5">
        <v>0</v>
      </c>
      <c r="I820" s="6" t="s">
        <v>13</v>
      </c>
      <c r="J820" s="4">
        <f>SUMPRODUCT(--((A820=$A$3:$A$2785)*$H$3:$H$2785&gt;H820))+1</f>
        <v>59</v>
      </c>
    </row>
    <row r="821" s="1" customFormat="true" customHeight="true" spans="1:10">
      <c r="A821" s="4" t="str">
        <f t="shared" si="114"/>
        <v>017</v>
      </c>
      <c r="B821" s="4" t="s">
        <v>29</v>
      </c>
      <c r="C821" s="4" t="str">
        <f>"孙梅雲"</f>
        <v>孙梅雲</v>
      </c>
      <c r="D821" s="4" t="str">
        <f>"2021021308"</f>
        <v>2021021308</v>
      </c>
      <c r="E821" s="4" t="str">
        <f t="shared" si="115"/>
        <v>13</v>
      </c>
      <c r="F821" s="4" t="str">
        <f>"08"</f>
        <v>08</v>
      </c>
      <c r="G821" s="4" t="s">
        <v>27</v>
      </c>
      <c r="H821" s="5">
        <v>0</v>
      </c>
      <c r="I821" s="6" t="s">
        <v>13</v>
      </c>
      <c r="J821" s="4">
        <f>SUMPRODUCT(--((A821=$A$3:$A$2785)*$H$3:$H$2785&gt;H821))+1</f>
        <v>59</v>
      </c>
    </row>
    <row r="822" s="1" customFormat="true" customHeight="true" spans="1:10">
      <c r="A822" s="4" t="str">
        <f t="shared" si="114"/>
        <v>017</v>
      </c>
      <c r="B822" s="4" t="s">
        <v>29</v>
      </c>
      <c r="C822" s="4" t="str">
        <f>"朱丽娟"</f>
        <v>朱丽娟</v>
      </c>
      <c r="D822" s="4" t="str">
        <f>"2021021309"</f>
        <v>2021021309</v>
      </c>
      <c r="E822" s="4" t="str">
        <f t="shared" si="115"/>
        <v>13</v>
      </c>
      <c r="F822" s="4" t="str">
        <f>"09"</f>
        <v>09</v>
      </c>
      <c r="G822" s="4" t="s">
        <v>27</v>
      </c>
      <c r="H822" s="5">
        <v>0</v>
      </c>
      <c r="I822" s="6" t="s">
        <v>13</v>
      </c>
      <c r="J822" s="4">
        <f>SUMPRODUCT(--((A822=$A$3:$A$2785)*$H$3:$H$2785&gt;H822))+1</f>
        <v>59</v>
      </c>
    </row>
    <row r="823" s="1" customFormat="true" customHeight="true" spans="1:10">
      <c r="A823" s="4" t="str">
        <f t="shared" si="114"/>
        <v>017</v>
      </c>
      <c r="B823" s="4" t="s">
        <v>29</v>
      </c>
      <c r="C823" s="4" t="str">
        <f>"尹芬"</f>
        <v>尹芬</v>
      </c>
      <c r="D823" s="4" t="str">
        <f>"2021021310"</f>
        <v>2021021310</v>
      </c>
      <c r="E823" s="4" t="str">
        <f t="shared" si="115"/>
        <v>13</v>
      </c>
      <c r="F823" s="4" t="str">
        <f>"10"</f>
        <v>10</v>
      </c>
      <c r="G823" s="4" t="s">
        <v>27</v>
      </c>
      <c r="H823" s="5">
        <v>0</v>
      </c>
      <c r="I823" s="6" t="s">
        <v>13</v>
      </c>
      <c r="J823" s="4">
        <f>SUMPRODUCT(--((A823=$A$3:$A$2785)*$H$3:$H$2785&gt;H823))+1</f>
        <v>59</v>
      </c>
    </row>
    <row r="824" s="1" customFormat="true" customHeight="true" spans="1:10">
      <c r="A824" s="4" t="str">
        <f t="shared" si="114"/>
        <v>017</v>
      </c>
      <c r="B824" s="4" t="s">
        <v>29</v>
      </c>
      <c r="C824" s="4" t="str">
        <f>"丁文杰"</f>
        <v>丁文杰</v>
      </c>
      <c r="D824" s="4" t="str">
        <f>"2021021313"</f>
        <v>2021021313</v>
      </c>
      <c r="E824" s="4" t="str">
        <f t="shared" si="115"/>
        <v>13</v>
      </c>
      <c r="F824" s="4" t="str">
        <f>"13"</f>
        <v>13</v>
      </c>
      <c r="G824" s="4" t="s">
        <v>27</v>
      </c>
      <c r="H824" s="5">
        <v>0</v>
      </c>
      <c r="I824" s="6" t="s">
        <v>13</v>
      </c>
      <c r="J824" s="4">
        <f>SUMPRODUCT(--((A824=$A$3:$A$2785)*$H$3:$H$2785&gt;H824))+1</f>
        <v>59</v>
      </c>
    </row>
    <row r="825" s="1" customFormat="true" customHeight="true" spans="1:10">
      <c r="A825" s="4" t="str">
        <f t="shared" si="114"/>
        <v>017</v>
      </c>
      <c r="B825" s="4" t="s">
        <v>29</v>
      </c>
      <c r="C825" s="4" t="str">
        <f>"滕瑶"</f>
        <v>滕瑶</v>
      </c>
      <c r="D825" s="4" t="str">
        <f>"2021021314"</f>
        <v>2021021314</v>
      </c>
      <c r="E825" s="4" t="str">
        <f t="shared" si="115"/>
        <v>13</v>
      </c>
      <c r="F825" s="4" t="str">
        <f>"14"</f>
        <v>14</v>
      </c>
      <c r="G825" s="4" t="s">
        <v>27</v>
      </c>
      <c r="H825" s="5">
        <v>0</v>
      </c>
      <c r="I825" s="6" t="s">
        <v>13</v>
      </c>
      <c r="J825" s="4">
        <f>SUMPRODUCT(--((A825=$A$3:$A$2785)*$H$3:$H$2785&gt;H825))+1</f>
        <v>59</v>
      </c>
    </row>
    <row r="826" s="1" customFormat="true" customHeight="true" spans="1:10">
      <c r="A826" s="4" t="str">
        <f t="shared" si="114"/>
        <v>017</v>
      </c>
      <c r="B826" s="4" t="s">
        <v>29</v>
      </c>
      <c r="C826" s="4" t="str">
        <f>"蒋佩君"</f>
        <v>蒋佩君</v>
      </c>
      <c r="D826" s="4" t="str">
        <f>"2021021315"</f>
        <v>2021021315</v>
      </c>
      <c r="E826" s="4" t="str">
        <f t="shared" si="115"/>
        <v>13</v>
      </c>
      <c r="F826" s="4" t="str">
        <f>"15"</f>
        <v>15</v>
      </c>
      <c r="G826" s="4" t="s">
        <v>27</v>
      </c>
      <c r="H826" s="5">
        <v>0</v>
      </c>
      <c r="I826" s="6" t="s">
        <v>13</v>
      </c>
      <c r="J826" s="4">
        <f>SUMPRODUCT(--((A826=$A$3:$A$2785)*$H$3:$H$2785&gt;H826))+1</f>
        <v>59</v>
      </c>
    </row>
    <row r="827" s="1" customFormat="true" customHeight="true" spans="1:10">
      <c r="A827" s="4" t="str">
        <f t="shared" si="114"/>
        <v>017</v>
      </c>
      <c r="B827" s="4" t="s">
        <v>29</v>
      </c>
      <c r="C827" s="4" t="str">
        <f>"刘学全"</f>
        <v>刘学全</v>
      </c>
      <c r="D827" s="4" t="str">
        <f>"2021021320"</f>
        <v>2021021320</v>
      </c>
      <c r="E827" s="4" t="str">
        <f t="shared" si="115"/>
        <v>13</v>
      </c>
      <c r="F827" s="4" t="str">
        <f>"20"</f>
        <v>20</v>
      </c>
      <c r="G827" s="4" t="s">
        <v>27</v>
      </c>
      <c r="H827" s="5">
        <v>0</v>
      </c>
      <c r="I827" s="6" t="s">
        <v>13</v>
      </c>
      <c r="J827" s="4">
        <f>SUMPRODUCT(--((A827=$A$3:$A$2785)*$H$3:$H$2785&gt;H827))+1</f>
        <v>59</v>
      </c>
    </row>
    <row r="828" s="1" customFormat="true" customHeight="true" spans="1:10">
      <c r="A828" s="4" t="str">
        <f t="shared" si="114"/>
        <v>017</v>
      </c>
      <c r="B828" s="4" t="s">
        <v>29</v>
      </c>
      <c r="C828" s="4" t="str">
        <f>"陈云霞"</f>
        <v>陈云霞</v>
      </c>
      <c r="D828" s="4" t="str">
        <f>"2021021322"</f>
        <v>2021021322</v>
      </c>
      <c r="E828" s="4" t="str">
        <f t="shared" si="115"/>
        <v>13</v>
      </c>
      <c r="F828" s="4" t="str">
        <f>"22"</f>
        <v>22</v>
      </c>
      <c r="G828" s="4" t="s">
        <v>27</v>
      </c>
      <c r="H828" s="5">
        <v>0</v>
      </c>
      <c r="I828" s="6" t="s">
        <v>13</v>
      </c>
      <c r="J828" s="4">
        <f>SUMPRODUCT(--((A828=$A$3:$A$2785)*$H$3:$H$2785&gt;H828))+1</f>
        <v>59</v>
      </c>
    </row>
    <row r="829" s="1" customFormat="true" customHeight="true" spans="1:10">
      <c r="A829" s="4" t="str">
        <f t="shared" si="114"/>
        <v>017</v>
      </c>
      <c r="B829" s="4" t="s">
        <v>29</v>
      </c>
      <c r="C829" s="4" t="str">
        <f>"滕龙"</f>
        <v>滕龙</v>
      </c>
      <c r="D829" s="4" t="str">
        <f>"2021021324"</f>
        <v>2021021324</v>
      </c>
      <c r="E829" s="4" t="str">
        <f t="shared" si="115"/>
        <v>13</v>
      </c>
      <c r="F829" s="4" t="str">
        <f>"24"</f>
        <v>24</v>
      </c>
      <c r="G829" s="4" t="s">
        <v>27</v>
      </c>
      <c r="H829" s="5">
        <v>0</v>
      </c>
      <c r="I829" s="6" t="s">
        <v>13</v>
      </c>
      <c r="J829" s="4">
        <f>SUMPRODUCT(--((A829=$A$3:$A$2785)*$H$3:$H$2785&gt;H829))+1</f>
        <v>59</v>
      </c>
    </row>
    <row r="830" s="1" customFormat="true" customHeight="true" spans="1:10">
      <c r="A830" s="4" t="str">
        <f t="shared" si="114"/>
        <v>017</v>
      </c>
      <c r="B830" s="4" t="s">
        <v>29</v>
      </c>
      <c r="C830" s="4" t="str">
        <f>"吴琴"</f>
        <v>吴琴</v>
      </c>
      <c r="D830" s="4" t="str">
        <f>"2021021325"</f>
        <v>2021021325</v>
      </c>
      <c r="E830" s="4" t="str">
        <f t="shared" si="115"/>
        <v>13</v>
      </c>
      <c r="F830" s="4" t="str">
        <f>"25"</f>
        <v>25</v>
      </c>
      <c r="G830" s="4" t="s">
        <v>27</v>
      </c>
      <c r="H830" s="5">
        <v>0</v>
      </c>
      <c r="I830" s="6" t="s">
        <v>13</v>
      </c>
      <c r="J830" s="4">
        <f>SUMPRODUCT(--((A830=$A$3:$A$2785)*$H$3:$H$2785&gt;H830))+1</f>
        <v>59</v>
      </c>
    </row>
    <row r="831" s="1" customFormat="true" customHeight="true" spans="1:10">
      <c r="A831" s="4" t="str">
        <f t="shared" si="114"/>
        <v>017</v>
      </c>
      <c r="B831" s="4" t="s">
        <v>29</v>
      </c>
      <c r="C831" s="4" t="str">
        <f>"曾虹菲"</f>
        <v>曾虹菲</v>
      </c>
      <c r="D831" s="4" t="str">
        <f>"2021021327"</f>
        <v>2021021327</v>
      </c>
      <c r="E831" s="4" t="str">
        <f t="shared" si="115"/>
        <v>13</v>
      </c>
      <c r="F831" s="4" t="str">
        <f>"27"</f>
        <v>27</v>
      </c>
      <c r="G831" s="4" t="s">
        <v>27</v>
      </c>
      <c r="H831" s="5">
        <v>0</v>
      </c>
      <c r="I831" s="6" t="s">
        <v>13</v>
      </c>
      <c r="J831" s="4">
        <f>SUMPRODUCT(--((A831=$A$3:$A$2785)*$H$3:$H$2785&gt;H831))+1</f>
        <v>59</v>
      </c>
    </row>
    <row r="832" s="1" customFormat="true" customHeight="true" spans="1:10">
      <c r="A832" s="4" t="str">
        <f t="shared" si="114"/>
        <v>017</v>
      </c>
      <c r="B832" s="4" t="s">
        <v>29</v>
      </c>
      <c r="C832" s="4" t="str">
        <f>"文雅丽"</f>
        <v>文雅丽</v>
      </c>
      <c r="D832" s="4" t="str">
        <f>"2021021328"</f>
        <v>2021021328</v>
      </c>
      <c r="E832" s="4" t="str">
        <f t="shared" si="115"/>
        <v>13</v>
      </c>
      <c r="F832" s="4" t="str">
        <f>"28"</f>
        <v>28</v>
      </c>
      <c r="G832" s="4" t="s">
        <v>27</v>
      </c>
      <c r="H832" s="5">
        <v>0</v>
      </c>
      <c r="I832" s="6" t="s">
        <v>13</v>
      </c>
      <c r="J832" s="4">
        <f>SUMPRODUCT(--((A832=$A$3:$A$2785)*$H$3:$H$2785&gt;H832))+1</f>
        <v>59</v>
      </c>
    </row>
    <row r="833" s="1" customFormat="true" customHeight="true" spans="1:10">
      <c r="A833" s="4" t="str">
        <f t="shared" si="114"/>
        <v>017</v>
      </c>
      <c r="B833" s="4" t="s">
        <v>29</v>
      </c>
      <c r="C833" s="4" t="str">
        <f>"杨月琴"</f>
        <v>杨月琴</v>
      </c>
      <c r="D833" s="4" t="str">
        <f>"2021021405"</f>
        <v>2021021405</v>
      </c>
      <c r="E833" s="4" t="str">
        <f t="shared" ref="E833:E849" si="116">"14"</f>
        <v>14</v>
      </c>
      <c r="F833" s="4" t="str">
        <f>"05"</f>
        <v>05</v>
      </c>
      <c r="G833" s="4" t="s">
        <v>27</v>
      </c>
      <c r="H833" s="5">
        <v>0</v>
      </c>
      <c r="I833" s="6" t="s">
        <v>13</v>
      </c>
      <c r="J833" s="4">
        <f>SUMPRODUCT(--((A833=$A$3:$A$2785)*$H$3:$H$2785&gt;H833))+1</f>
        <v>59</v>
      </c>
    </row>
    <row r="834" s="1" customFormat="true" customHeight="true" spans="1:10">
      <c r="A834" s="4" t="str">
        <f t="shared" si="114"/>
        <v>017</v>
      </c>
      <c r="B834" s="4" t="s">
        <v>29</v>
      </c>
      <c r="C834" s="4" t="str">
        <f>"张梅霞"</f>
        <v>张梅霞</v>
      </c>
      <c r="D834" s="4" t="str">
        <f>"2021021406"</f>
        <v>2021021406</v>
      </c>
      <c r="E834" s="4" t="str">
        <f t="shared" si="116"/>
        <v>14</v>
      </c>
      <c r="F834" s="4" t="str">
        <f>"06"</f>
        <v>06</v>
      </c>
      <c r="G834" s="4" t="s">
        <v>27</v>
      </c>
      <c r="H834" s="5">
        <v>0</v>
      </c>
      <c r="I834" s="6" t="s">
        <v>13</v>
      </c>
      <c r="J834" s="4">
        <f>SUMPRODUCT(--((A834=$A$3:$A$2785)*$H$3:$H$2785&gt;H834))+1</f>
        <v>59</v>
      </c>
    </row>
    <row r="835" s="1" customFormat="true" customHeight="true" spans="1:10">
      <c r="A835" s="4" t="str">
        <f t="shared" si="114"/>
        <v>017</v>
      </c>
      <c r="B835" s="4" t="s">
        <v>29</v>
      </c>
      <c r="C835" s="4" t="str">
        <f>"庄果"</f>
        <v>庄果</v>
      </c>
      <c r="D835" s="4" t="str">
        <f>"2021021407"</f>
        <v>2021021407</v>
      </c>
      <c r="E835" s="4" t="str">
        <f t="shared" si="116"/>
        <v>14</v>
      </c>
      <c r="F835" s="4" t="str">
        <f>"07"</f>
        <v>07</v>
      </c>
      <c r="G835" s="4" t="s">
        <v>27</v>
      </c>
      <c r="H835" s="5">
        <v>0</v>
      </c>
      <c r="I835" s="6" t="s">
        <v>13</v>
      </c>
      <c r="J835" s="4">
        <f>SUMPRODUCT(--((A835=$A$3:$A$2785)*$H$3:$H$2785&gt;H835))+1</f>
        <v>59</v>
      </c>
    </row>
    <row r="836" s="1" customFormat="true" customHeight="true" spans="1:10">
      <c r="A836" s="4" t="str">
        <f t="shared" si="114"/>
        <v>017</v>
      </c>
      <c r="B836" s="4" t="s">
        <v>29</v>
      </c>
      <c r="C836" s="4" t="str">
        <f>"涂菁华"</f>
        <v>涂菁华</v>
      </c>
      <c r="D836" s="4" t="str">
        <f>"2021021408"</f>
        <v>2021021408</v>
      </c>
      <c r="E836" s="4" t="str">
        <f t="shared" si="116"/>
        <v>14</v>
      </c>
      <c r="F836" s="4" t="str">
        <f>"08"</f>
        <v>08</v>
      </c>
      <c r="G836" s="4" t="s">
        <v>27</v>
      </c>
      <c r="H836" s="5">
        <v>0</v>
      </c>
      <c r="I836" s="6" t="s">
        <v>13</v>
      </c>
      <c r="J836" s="4">
        <f>SUMPRODUCT(--((A836=$A$3:$A$2785)*$H$3:$H$2785&gt;H836))+1</f>
        <v>59</v>
      </c>
    </row>
    <row r="837" s="1" customFormat="true" customHeight="true" spans="1:10">
      <c r="A837" s="4" t="str">
        <f t="shared" si="114"/>
        <v>017</v>
      </c>
      <c r="B837" s="4" t="s">
        <v>29</v>
      </c>
      <c r="C837" s="4" t="str">
        <f>"张兰"</f>
        <v>张兰</v>
      </c>
      <c r="D837" s="4" t="str">
        <f>"2021021409"</f>
        <v>2021021409</v>
      </c>
      <c r="E837" s="4" t="str">
        <f t="shared" si="116"/>
        <v>14</v>
      </c>
      <c r="F837" s="4" t="str">
        <f>"09"</f>
        <v>09</v>
      </c>
      <c r="G837" s="4" t="s">
        <v>27</v>
      </c>
      <c r="H837" s="5">
        <v>0</v>
      </c>
      <c r="I837" s="6" t="s">
        <v>13</v>
      </c>
      <c r="J837" s="4">
        <f>SUMPRODUCT(--((A837=$A$3:$A$2785)*$H$3:$H$2785&gt;H837))+1</f>
        <v>59</v>
      </c>
    </row>
    <row r="838" s="1" customFormat="true" customHeight="true" spans="1:10">
      <c r="A838" s="4" t="str">
        <f t="shared" si="114"/>
        <v>017</v>
      </c>
      <c r="B838" s="4" t="s">
        <v>29</v>
      </c>
      <c r="C838" s="4" t="str">
        <f>"杨欣晨"</f>
        <v>杨欣晨</v>
      </c>
      <c r="D838" s="4" t="str">
        <f>"2021021410"</f>
        <v>2021021410</v>
      </c>
      <c r="E838" s="4" t="str">
        <f t="shared" si="116"/>
        <v>14</v>
      </c>
      <c r="F838" s="4" t="str">
        <f>"10"</f>
        <v>10</v>
      </c>
      <c r="G838" s="4" t="s">
        <v>27</v>
      </c>
      <c r="H838" s="5">
        <v>0</v>
      </c>
      <c r="I838" s="6" t="s">
        <v>13</v>
      </c>
      <c r="J838" s="4">
        <f>SUMPRODUCT(--((A838=$A$3:$A$2785)*$H$3:$H$2785&gt;H838))+1</f>
        <v>59</v>
      </c>
    </row>
    <row r="839" s="1" customFormat="true" customHeight="true" spans="1:10">
      <c r="A839" s="4" t="str">
        <f t="shared" si="114"/>
        <v>017</v>
      </c>
      <c r="B839" s="4" t="s">
        <v>29</v>
      </c>
      <c r="C839" s="4" t="str">
        <f>"唐诗"</f>
        <v>唐诗</v>
      </c>
      <c r="D839" s="4" t="str">
        <f>"2021021411"</f>
        <v>2021021411</v>
      </c>
      <c r="E839" s="4" t="str">
        <f t="shared" si="116"/>
        <v>14</v>
      </c>
      <c r="F839" s="4" t="str">
        <f>"11"</f>
        <v>11</v>
      </c>
      <c r="G839" s="4" t="s">
        <v>27</v>
      </c>
      <c r="H839" s="5">
        <v>0</v>
      </c>
      <c r="I839" s="6" t="s">
        <v>13</v>
      </c>
      <c r="J839" s="4">
        <f>SUMPRODUCT(--((A839=$A$3:$A$2785)*$H$3:$H$2785&gt;H839))+1</f>
        <v>59</v>
      </c>
    </row>
    <row r="840" s="1" customFormat="true" customHeight="true" spans="1:10">
      <c r="A840" s="4" t="str">
        <f t="shared" si="114"/>
        <v>017</v>
      </c>
      <c r="B840" s="4" t="s">
        <v>29</v>
      </c>
      <c r="C840" s="4" t="str">
        <f>"张娜"</f>
        <v>张娜</v>
      </c>
      <c r="D840" s="4" t="str">
        <f>"2021021413"</f>
        <v>2021021413</v>
      </c>
      <c r="E840" s="4" t="str">
        <f t="shared" si="116"/>
        <v>14</v>
      </c>
      <c r="F840" s="4" t="str">
        <f>"13"</f>
        <v>13</v>
      </c>
      <c r="G840" s="4" t="s">
        <v>27</v>
      </c>
      <c r="H840" s="5">
        <v>0</v>
      </c>
      <c r="I840" s="6" t="s">
        <v>13</v>
      </c>
      <c r="J840" s="4">
        <f>SUMPRODUCT(--((A840=$A$3:$A$2785)*$H$3:$H$2785&gt;H840))+1</f>
        <v>59</v>
      </c>
    </row>
    <row r="841" s="1" customFormat="true" customHeight="true" spans="1:10">
      <c r="A841" s="4" t="str">
        <f t="shared" si="114"/>
        <v>017</v>
      </c>
      <c r="B841" s="4" t="s">
        <v>29</v>
      </c>
      <c r="C841" s="4" t="str">
        <f>"张艳平"</f>
        <v>张艳平</v>
      </c>
      <c r="D841" s="4" t="str">
        <f>"2021021415"</f>
        <v>2021021415</v>
      </c>
      <c r="E841" s="4" t="str">
        <f t="shared" si="116"/>
        <v>14</v>
      </c>
      <c r="F841" s="4" t="str">
        <f>"15"</f>
        <v>15</v>
      </c>
      <c r="G841" s="4" t="s">
        <v>27</v>
      </c>
      <c r="H841" s="5">
        <v>0</v>
      </c>
      <c r="I841" s="6" t="s">
        <v>13</v>
      </c>
      <c r="J841" s="4">
        <f>SUMPRODUCT(--((A841=$A$3:$A$2785)*$H$3:$H$2785&gt;H841))+1</f>
        <v>59</v>
      </c>
    </row>
    <row r="842" s="1" customFormat="true" customHeight="true" spans="1:10">
      <c r="A842" s="4" t="str">
        <f t="shared" si="114"/>
        <v>017</v>
      </c>
      <c r="B842" s="4" t="s">
        <v>29</v>
      </c>
      <c r="C842" s="4" t="str">
        <f>"韩琴"</f>
        <v>韩琴</v>
      </c>
      <c r="D842" s="4" t="str">
        <f>"2021021420"</f>
        <v>2021021420</v>
      </c>
      <c r="E842" s="4" t="str">
        <f t="shared" si="116"/>
        <v>14</v>
      </c>
      <c r="F842" s="4" t="str">
        <f>"20"</f>
        <v>20</v>
      </c>
      <c r="G842" s="4" t="s">
        <v>27</v>
      </c>
      <c r="H842" s="5">
        <v>0</v>
      </c>
      <c r="I842" s="6" t="s">
        <v>13</v>
      </c>
      <c r="J842" s="4">
        <f>SUMPRODUCT(--((A842=$A$3:$A$2785)*$H$3:$H$2785&gt;H842))+1</f>
        <v>59</v>
      </c>
    </row>
    <row r="843" s="1" customFormat="true" customHeight="true" spans="1:10">
      <c r="A843" s="4" t="str">
        <f t="shared" si="114"/>
        <v>017</v>
      </c>
      <c r="B843" s="4" t="s">
        <v>29</v>
      </c>
      <c r="C843" s="4" t="str">
        <f>"易知群"</f>
        <v>易知群</v>
      </c>
      <c r="D843" s="4" t="str">
        <f>"2021021422"</f>
        <v>2021021422</v>
      </c>
      <c r="E843" s="4" t="str">
        <f t="shared" si="116"/>
        <v>14</v>
      </c>
      <c r="F843" s="4" t="str">
        <f>"22"</f>
        <v>22</v>
      </c>
      <c r="G843" s="4" t="s">
        <v>27</v>
      </c>
      <c r="H843" s="5">
        <v>0</v>
      </c>
      <c r="I843" s="6" t="s">
        <v>13</v>
      </c>
      <c r="J843" s="4">
        <f>SUMPRODUCT(--((A843=$A$3:$A$2785)*$H$3:$H$2785&gt;H843))+1</f>
        <v>59</v>
      </c>
    </row>
    <row r="844" s="1" customFormat="true" customHeight="true" spans="1:10">
      <c r="A844" s="4" t="str">
        <f t="shared" si="114"/>
        <v>017</v>
      </c>
      <c r="B844" s="4" t="s">
        <v>29</v>
      </c>
      <c r="C844" s="4" t="str">
        <f>"姜涵忆"</f>
        <v>姜涵忆</v>
      </c>
      <c r="D844" s="4" t="str">
        <f>"2021021424"</f>
        <v>2021021424</v>
      </c>
      <c r="E844" s="4" t="str">
        <f t="shared" si="116"/>
        <v>14</v>
      </c>
      <c r="F844" s="4" t="str">
        <f>"24"</f>
        <v>24</v>
      </c>
      <c r="G844" s="4" t="s">
        <v>27</v>
      </c>
      <c r="H844" s="5">
        <v>0</v>
      </c>
      <c r="I844" s="6" t="s">
        <v>13</v>
      </c>
      <c r="J844" s="4">
        <f>SUMPRODUCT(--((A844=$A$3:$A$2785)*$H$3:$H$2785&gt;H844))+1</f>
        <v>59</v>
      </c>
    </row>
    <row r="845" s="1" customFormat="true" customHeight="true" spans="1:10">
      <c r="A845" s="4" t="str">
        <f t="shared" si="114"/>
        <v>017</v>
      </c>
      <c r="B845" s="4" t="s">
        <v>29</v>
      </c>
      <c r="C845" s="4" t="str">
        <f>"彭润语"</f>
        <v>彭润语</v>
      </c>
      <c r="D845" s="4" t="str">
        <f>"2021021426"</f>
        <v>2021021426</v>
      </c>
      <c r="E845" s="4" t="str">
        <f t="shared" si="116"/>
        <v>14</v>
      </c>
      <c r="F845" s="4" t="str">
        <f>"26"</f>
        <v>26</v>
      </c>
      <c r="G845" s="4" t="s">
        <v>27</v>
      </c>
      <c r="H845" s="5">
        <v>0</v>
      </c>
      <c r="I845" s="6" t="s">
        <v>13</v>
      </c>
      <c r="J845" s="4">
        <f>SUMPRODUCT(--((A845=$A$3:$A$2785)*$H$3:$H$2785&gt;H845))+1</f>
        <v>59</v>
      </c>
    </row>
    <row r="846" s="1" customFormat="true" customHeight="true" spans="1:10">
      <c r="A846" s="4" t="str">
        <f t="shared" si="114"/>
        <v>017</v>
      </c>
      <c r="B846" s="4" t="s">
        <v>29</v>
      </c>
      <c r="C846" s="4" t="str">
        <f>"夏杰"</f>
        <v>夏杰</v>
      </c>
      <c r="D846" s="4" t="str">
        <f>"2021021427"</f>
        <v>2021021427</v>
      </c>
      <c r="E846" s="4" t="str">
        <f t="shared" si="116"/>
        <v>14</v>
      </c>
      <c r="F846" s="4" t="str">
        <f>"27"</f>
        <v>27</v>
      </c>
      <c r="G846" s="4" t="s">
        <v>27</v>
      </c>
      <c r="H846" s="5">
        <v>0</v>
      </c>
      <c r="I846" s="6" t="s">
        <v>13</v>
      </c>
      <c r="J846" s="4">
        <f>SUMPRODUCT(--((A846=$A$3:$A$2785)*$H$3:$H$2785&gt;H846))+1</f>
        <v>59</v>
      </c>
    </row>
    <row r="847" s="1" customFormat="true" customHeight="true" spans="1:10">
      <c r="A847" s="4" t="str">
        <f t="shared" si="114"/>
        <v>017</v>
      </c>
      <c r="B847" s="4" t="s">
        <v>29</v>
      </c>
      <c r="C847" s="4" t="str">
        <f>"刘琦"</f>
        <v>刘琦</v>
      </c>
      <c r="D847" s="4" t="str">
        <f>"2021021428"</f>
        <v>2021021428</v>
      </c>
      <c r="E847" s="4" t="str">
        <f t="shared" si="116"/>
        <v>14</v>
      </c>
      <c r="F847" s="4" t="str">
        <f>"28"</f>
        <v>28</v>
      </c>
      <c r="G847" s="4" t="s">
        <v>27</v>
      </c>
      <c r="H847" s="5">
        <v>0</v>
      </c>
      <c r="I847" s="6" t="s">
        <v>13</v>
      </c>
      <c r="J847" s="4">
        <f>SUMPRODUCT(--((A847=$A$3:$A$2785)*$H$3:$H$2785&gt;H847))+1</f>
        <v>59</v>
      </c>
    </row>
    <row r="848" s="1" customFormat="true" customHeight="true" spans="1:10">
      <c r="A848" s="4" t="str">
        <f t="shared" si="114"/>
        <v>017</v>
      </c>
      <c r="B848" s="4" t="s">
        <v>29</v>
      </c>
      <c r="C848" s="4" t="str">
        <f>"吴林函"</f>
        <v>吴林函</v>
      </c>
      <c r="D848" s="4" t="str">
        <f>"2021021429"</f>
        <v>2021021429</v>
      </c>
      <c r="E848" s="4" t="str">
        <f t="shared" si="116"/>
        <v>14</v>
      </c>
      <c r="F848" s="4" t="str">
        <f>"29"</f>
        <v>29</v>
      </c>
      <c r="G848" s="4" t="s">
        <v>27</v>
      </c>
      <c r="H848" s="5">
        <v>0</v>
      </c>
      <c r="I848" s="6" t="s">
        <v>13</v>
      </c>
      <c r="J848" s="4">
        <f>SUMPRODUCT(--((A848=$A$3:$A$2785)*$H$3:$H$2785&gt;H848))+1</f>
        <v>59</v>
      </c>
    </row>
    <row r="849" s="1" customFormat="true" customHeight="true" spans="1:10">
      <c r="A849" s="4" t="str">
        <f t="shared" si="114"/>
        <v>017</v>
      </c>
      <c r="B849" s="4" t="s">
        <v>29</v>
      </c>
      <c r="C849" s="4" t="str">
        <f>"滕杨"</f>
        <v>滕杨</v>
      </c>
      <c r="D849" s="4" t="str">
        <f>"2021021430"</f>
        <v>2021021430</v>
      </c>
      <c r="E849" s="4" t="str">
        <f t="shared" si="116"/>
        <v>14</v>
      </c>
      <c r="F849" s="4" t="str">
        <f>"30"</f>
        <v>30</v>
      </c>
      <c r="G849" s="4" t="s">
        <v>27</v>
      </c>
      <c r="H849" s="5">
        <v>0</v>
      </c>
      <c r="I849" s="6" t="s">
        <v>13</v>
      </c>
      <c r="J849" s="4">
        <f>SUMPRODUCT(--((A849=$A$3:$A$2785)*$H$3:$H$2785&gt;H849))+1</f>
        <v>59</v>
      </c>
    </row>
    <row r="850" s="1" customFormat="true" customHeight="true" spans="1:10">
      <c r="A850" s="4" t="str">
        <f t="shared" si="114"/>
        <v>017</v>
      </c>
      <c r="B850" s="4" t="s">
        <v>29</v>
      </c>
      <c r="C850" s="4" t="str">
        <f>"张晶"</f>
        <v>张晶</v>
      </c>
      <c r="D850" s="4" t="str">
        <f>"2021021501"</f>
        <v>2021021501</v>
      </c>
      <c r="E850" s="4" t="str">
        <f t="shared" ref="E850:E860" si="117">"15"</f>
        <v>15</v>
      </c>
      <c r="F850" s="4" t="str">
        <f>"01"</f>
        <v>01</v>
      </c>
      <c r="G850" s="4" t="s">
        <v>27</v>
      </c>
      <c r="H850" s="5">
        <v>0</v>
      </c>
      <c r="I850" s="6" t="s">
        <v>13</v>
      </c>
      <c r="J850" s="4">
        <f>SUMPRODUCT(--((A850=$A$3:$A$2785)*$H$3:$H$2785&gt;H850))+1</f>
        <v>59</v>
      </c>
    </row>
    <row r="851" s="1" customFormat="true" customHeight="true" spans="1:10">
      <c r="A851" s="4" t="str">
        <f t="shared" si="114"/>
        <v>017</v>
      </c>
      <c r="B851" s="4" t="s">
        <v>29</v>
      </c>
      <c r="C851" s="4" t="str">
        <f>"隆瑞雪"</f>
        <v>隆瑞雪</v>
      </c>
      <c r="D851" s="4" t="str">
        <f>"2021021503"</f>
        <v>2021021503</v>
      </c>
      <c r="E851" s="4" t="str">
        <f t="shared" si="117"/>
        <v>15</v>
      </c>
      <c r="F851" s="4" t="str">
        <f>"03"</f>
        <v>03</v>
      </c>
      <c r="G851" s="4" t="s">
        <v>27</v>
      </c>
      <c r="H851" s="5">
        <v>0</v>
      </c>
      <c r="I851" s="6" t="s">
        <v>13</v>
      </c>
      <c r="J851" s="4">
        <f>SUMPRODUCT(--((A851=$A$3:$A$2785)*$H$3:$H$2785&gt;H851))+1</f>
        <v>59</v>
      </c>
    </row>
    <row r="852" s="1" customFormat="true" customHeight="true" spans="1:10">
      <c r="A852" s="4" t="str">
        <f t="shared" si="114"/>
        <v>017</v>
      </c>
      <c r="B852" s="4" t="s">
        <v>29</v>
      </c>
      <c r="C852" s="4" t="str">
        <f>"章义"</f>
        <v>章义</v>
      </c>
      <c r="D852" s="4" t="str">
        <f>"2021021504"</f>
        <v>2021021504</v>
      </c>
      <c r="E852" s="4" t="str">
        <f t="shared" si="117"/>
        <v>15</v>
      </c>
      <c r="F852" s="4" t="str">
        <f>"04"</f>
        <v>04</v>
      </c>
      <c r="G852" s="4" t="s">
        <v>27</v>
      </c>
      <c r="H852" s="5">
        <v>0</v>
      </c>
      <c r="I852" s="6" t="s">
        <v>13</v>
      </c>
      <c r="J852" s="4">
        <f>SUMPRODUCT(--((A852=$A$3:$A$2785)*$H$3:$H$2785&gt;H852))+1</f>
        <v>59</v>
      </c>
    </row>
    <row r="853" s="1" customFormat="true" customHeight="true" spans="1:10">
      <c r="A853" s="4" t="str">
        <f t="shared" si="114"/>
        <v>017</v>
      </c>
      <c r="B853" s="4" t="s">
        <v>29</v>
      </c>
      <c r="C853" s="4" t="str">
        <f>"米玉雪"</f>
        <v>米玉雪</v>
      </c>
      <c r="D853" s="4" t="str">
        <f>"2021021506"</f>
        <v>2021021506</v>
      </c>
      <c r="E853" s="4" t="str">
        <f t="shared" si="117"/>
        <v>15</v>
      </c>
      <c r="F853" s="4" t="str">
        <f>"06"</f>
        <v>06</v>
      </c>
      <c r="G853" s="4" t="s">
        <v>27</v>
      </c>
      <c r="H853" s="5">
        <v>0</v>
      </c>
      <c r="I853" s="6" t="s">
        <v>13</v>
      </c>
      <c r="J853" s="4">
        <f>SUMPRODUCT(--((A853=$A$3:$A$2785)*$H$3:$H$2785&gt;H853))+1</f>
        <v>59</v>
      </c>
    </row>
    <row r="854" s="1" customFormat="true" customHeight="true" spans="1:10">
      <c r="A854" s="4" t="str">
        <f t="shared" si="114"/>
        <v>017</v>
      </c>
      <c r="B854" s="4" t="s">
        <v>29</v>
      </c>
      <c r="C854" s="4" t="str">
        <f>"陈玉玲"</f>
        <v>陈玉玲</v>
      </c>
      <c r="D854" s="4" t="str">
        <f>"2021021507"</f>
        <v>2021021507</v>
      </c>
      <c r="E854" s="4" t="str">
        <f t="shared" si="117"/>
        <v>15</v>
      </c>
      <c r="F854" s="4" t="str">
        <f>"07"</f>
        <v>07</v>
      </c>
      <c r="G854" s="4" t="s">
        <v>27</v>
      </c>
      <c r="H854" s="5">
        <v>0</v>
      </c>
      <c r="I854" s="6" t="s">
        <v>13</v>
      </c>
      <c r="J854" s="4">
        <f>SUMPRODUCT(--((A854=$A$3:$A$2785)*$H$3:$H$2785&gt;H854))+1</f>
        <v>59</v>
      </c>
    </row>
    <row r="855" s="1" customFormat="true" customHeight="true" spans="1:10">
      <c r="A855" s="4" t="str">
        <f t="shared" si="114"/>
        <v>017</v>
      </c>
      <c r="B855" s="4" t="s">
        <v>29</v>
      </c>
      <c r="C855" s="4" t="str">
        <f>"唐鹏"</f>
        <v>唐鹏</v>
      </c>
      <c r="D855" s="4" t="str">
        <f>"2021021508"</f>
        <v>2021021508</v>
      </c>
      <c r="E855" s="4" t="str">
        <f t="shared" si="117"/>
        <v>15</v>
      </c>
      <c r="F855" s="4" t="str">
        <f>"08"</f>
        <v>08</v>
      </c>
      <c r="G855" s="4" t="s">
        <v>27</v>
      </c>
      <c r="H855" s="5">
        <v>0</v>
      </c>
      <c r="I855" s="6" t="s">
        <v>13</v>
      </c>
      <c r="J855" s="4">
        <f>SUMPRODUCT(--((A855=$A$3:$A$2785)*$H$3:$H$2785&gt;H855))+1</f>
        <v>59</v>
      </c>
    </row>
    <row r="856" s="1" customFormat="true" customHeight="true" spans="1:10">
      <c r="A856" s="4" t="str">
        <f t="shared" si="114"/>
        <v>017</v>
      </c>
      <c r="B856" s="4" t="s">
        <v>29</v>
      </c>
      <c r="C856" s="4" t="str">
        <f>"姚茂玲"</f>
        <v>姚茂玲</v>
      </c>
      <c r="D856" s="4" t="str">
        <f>"2021021510"</f>
        <v>2021021510</v>
      </c>
      <c r="E856" s="4" t="str">
        <f t="shared" si="117"/>
        <v>15</v>
      </c>
      <c r="F856" s="4" t="str">
        <f>"10"</f>
        <v>10</v>
      </c>
      <c r="G856" s="4" t="s">
        <v>27</v>
      </c>
      <c r="H856" s="5">
        <v>0</v>
      </c>
      <c r="I856" s="6" t="s">
        <v>13</v>
      </c>
      <c r="J856" s="4">
        <f>SUMPRODUCT(--((A856=$A$3:$A$2785)*$H$3:$H$2785&gt;H856))+1</f>
        <v>59</v>
      </c>
    </row>
    <row r="857" s="1" customFormat="true" customHeight="true" spans="1:10">
      <c r="A857" s="4" t="str">
        <f t="shared" si="114"/>
        <v>017</v>
      </c>
      <c r="B857" s="4" t="s">
        <v>29</v>
      </c>
      <c r="C857" s="4" t="str">
        <f>"项馨琪"</f>
        <v>项馨琪</v>
      </c>
      <c r="D857" s="4" t="str">
        <f>"2021021515"</f>
        <v>2021021515</v>
      </c>
      <c r="E857" s="4" t="str">
        <f t="shared" si="117"/>
        <v>15</v>
      </c>
      <c r="F857" s="4" t="str">
        <f>"15"</f>
        <v>15</v>
      </c>
      <c r="G857" s="4" t="s">
        <v>27</v>
      </c>
      <c r="H857" s="5">
        <v>0</v>
      </c>
      <c r="I857" s="6" t="s">
        <v>13</v>
      </c>
      <c r="J857" s="4">
        <f>SUMPRODUCT(--((A857=$A$3:$A$2785)*$H$3:$H$2785&gt;H857))+1</f>
        <v>59</v>
      </c>
    </row>
    <row r="858" s="1" customFormat="true" customHeight="true" spans="1:10">
      <c r="A858" s="4" t="str">
        <f t="shared" si="114"/>
        <v>017</v>
      </c>
      <c r="B858" s="4" t="s">
        <v>29</v>
      </c>
      <c r="C858" s="4" t="str">
        <f>"周杨"</f>
        <v>周杨</v>
      </c>
      <c r="D858" s="4" t="str">
        <f>"2021021516"</f>
        <v>2021021516</v>
      </c>
      <c r="E858" s="4" t="str">
        <f t="shared" si="117"/>
        <v>15</v>
      </c>
      <c r="F858" s="4" t="str">
        <f>"16"</f>
        <v>16</v>
      </c>
      <c r="G858" s="4" t="s">
        <v>27</v>
      </c>
      <c r="H858" s="5">
        <v>0</v>
      </c>
      <c r="I858" s="6" t="s">
        <v>13</v>
      </c>
      <c r="J858" s="4">
        <f>SUMPRODUCT(--((A858=$A$3:$A$2785)*$H$3:$H$2785&gt;H858))+1</f>
        <v>59</v>
      </c>
    </row>
    <row r="859" s="1" customFormat="true" customHeight="true" spans="1:10">
      <c r="A859" s="4" t="str">
        <f t="shared" si="114"/>
        <v>017</v>
      </c>
      <c r="B859" s="4" t="s">
        <v>29</v>
      </c>
      <c r="C859" s="4" t="str">
        <f>"周雨"</f>
        <v>周雨</v>
      </c>
      <c r="D859" s="4" t="str">
        <f>"2021021518"</f>
        <v>2021021518</v>
      </c>
      <c r="E859" s="4" t="str">
        <f t="shared" si="117"/>
        <v>15</v>
      </c>
      <c r="F859" s="4" t="str">
        <f>"18"</f>
        <v>18</v>
      </c>
      <c r="G859" s="4" t="s">
        <v>27</v>
      </c>
      <c r="H859" s="5">
        <v>0</v>
      </c>
      <c r="I859" s="6" t="s">
        <v>13</v>
      </c>
      <c r="J859" s="4">
        <f>SUMPRODUCT(--((A859=$A$3:$A$2785)*$H$3:$H$2785&gt;H859))+1</f>
        <v>59</v>
      </c>
    </row>
    <row r="860" s="1" customFormat="true" customHeight="true" spans="1:10">
      <c r="A860" s="4" t="str">
        <f t="shared" si="114"/>
        <v>017</v>
      </c>
      <c r="B860" s="4" t="s">
        <v>29</v>
      </c>
      <c r="C860" s="4" t="str">
        <f>"黄好玉"</f>
        <v>黄好玉</v>
      </c>
      <c r="D860" s="4" t="str">
        <f>"2021021520"</f>
        <v>2021021520</v>
      </c>
      <c r="E860" s="4" t="str">
        <f t="shared" si="117"/>
        <v>15</v>
      </c>
      <c r="F860" s="4" t="str">
        <f>"20"</f>
        <v>20</v>
      </c>
      <c r="G860" s="4" t="s">
        <v>27</v>
      </c>
      <c r="H860" s="5">
        <v>0</v>
      </c>
      <c r="I860" s="6" t="s">
        <v>13</v>
      </c>
      <c r="J860" s="4">
        <f>SUMPRODUCT(--((A860=$A$3:$A$2785)*$H$3:$H$2785&gt;H860))+1</f>
        <v>59</v>
      </c>
    </row>
    <row r="861" s="1" customFormat="true" customHeight="true" spans="1:10">
      <c r="A861" s="4" t="str">
        <f t="shared" ref="A861:A880" si="118">"018"</f>
        <v>018</v>
      </c>
      <c r="B861" s="4" t="s">
        <v>30</v>
      </c>
      <c r="C861" s="4" t="str">
        <f>"刘丹虹"</f>
        <v>刘丹虹</v>
      </c>
      <c r="D861" s="4" t="str">
        <f>"2021021824"</f>
        <v>2021021824</v>
      </c>
      <c r="E861" s="4" t="str">
        <f t="shared" ref="E861:E866" si="119">"18"</f>
        <v>18</v>
      </c>
      <c r="F861" s="4" t="str">
        <f>"24"</f>
        <v>24</v>
      </c>
      <c r="G861" s="4" t="s">
        <v>27</v>
      </c>
      <c r="H861" s="5">
        <v>69</v>
      </c>
      <c r="I861" s="4"/>
      <c r="J861" s="4">
        <f>SUMPRODUCT(--((A861=$A$3:$A$2785)*$H$3:$H$2785&gt;H861))+1</f>
        <v>1</v>
      </c>
    </row>
    <row r="862" s="1" customFormat="true" customHeight="true" spans="1:10">
      <c r="A862" s="4" t="str">
        <f t="shared" si="118"/>
        <v>018</v>
      </c>
      <c r="B862" s="4" t="s">
        <v>30</v>
      </c>
      <c r="C862" s="4" t="str">
        <f>"廖美君"</f>
        <v>廖美君</v>
      </c>
      <c r="D862" s="4" t="str">
        <f>"2021021903"</f>
        <v>2021021903</v>
      </c>
      <c r="E862" s="4" t="str">
        <f>"19"</f>
        <v>19</v>
      </c>
      <c r="F862" s="4" t="str">
        <f>"03"</f>
        <v>03</v>
      </c>
      <c r="G862" s="4" t="s">
        <v>27</v>
      </c>
      <c r="H862" s="5">
        <v>66</v>
      </c>
      <c r="I862" s="4"/>
      <c r="J862" s="4">
        <f>SUMPRODUCT(--((A862=$A$3:$A$2785)*$H$3:$H$2785&gt;H862))+1</f>
        <v>2</v>
      </c>
    </row>
    <row r="863" s="1" customFormat="true" customHeight="true" spans="1:10">
      <c r="A863" s="4" t="str">
        <f t="shared" si="118"/>
        <v>018</v>
      </c>
      <c r="B863" s="4" t="s">
        <v>30</v>
      </c>
      <c r="C863" s="4" t="str">
        <f>"杨增丽"</f>
        <v>杨增丽</v>
      </c>
      <c r="D863" s="4" t="str">
        <f>"2021021825"</f>
        <v>2021021825</v>
      </c>
      <c r="E863" s="4" t="str">
        <f t="shared" si="119"/>
        <v>18</v>
      </c>
      <c r="F863" s="4" t="str">
        <f>"25"</f>
        <v>25</v>
      </c>
      <c r="G863" s="4" t="s">
        <v>27</v>
      </c>
      <c r="H863" s="5">
        <v>65.1</v>
      </c>
      <c r="I863" s="4"/>
      <c r="J863" s="4">
        <f>SUMPRODUCT(--((A863=$A$3:$A$2785)*$H$3:$H$2785&gt;H863))+1</f>
        <v>3</v>
      </c>
    </row>
    <row r="864" s="1" customFormat="true" customHeight="true" spans="1:10">
      <c r="A864" s="4" t="str">
        <f t="shared" si="118"/>
        <v>018</v>
      </c>
      <c r="B864" s="4" t="s">
        <v>30</v>
      </c>
      <c r="C864" s="4" t="str">
        <f>"胡帅"</f>
        <v>胡帅</v>
      </c>
      <c r="D864" s="4" t="str">
        <f>"2021021823"</f>
        <v>2021021823</v>
      </c>
      <c r="E864" s="4" t="str">
        <f t="shared" si="119"/>
        <v>18</v>
      </c>
      <c r="F864" s="4" t="str">
        <f>"23"</f>
        <v>23</v>
      </c>
      <c r="G864" s="4" t="s">
        <v>27</v>
      </c>
      <c r="H864" s="5">
        <v>64.55</v>
      </c>
      <c r="I864" s="4"/>
      <c r="J864" s="4">
        <f>SUMPRODUCT(--((A864=$A$3:$A$2785)*$H$3:$H$2785&gt;H864))+1</f>
        <v>4</v>
      </c>
    </row>
    <row r="865" s="1" customFormat="true" customHeight="true" spans="1:10">
      <c r="A865" s="4" t="str">
        <f t="shared" si="118"/>
        <v>018</v>
      </c>
      <c r="B865" s="4" t="s">
        <v>30</v>
      </c>
      <c r="C865" s="4" t="str">
        <f>"肖仪"</f>
        <v>肖仪</v>
      </c>
      <c r="D865" s="4" t="str">
        <f>"2021021827"</f>
        <v>2021021827</v>
      </c>
      <c r="E865" s="4" t="str">
        <f t="shared" si="119"/>
        <v>18</v>
      </c>
      <c r="F865" s="4" t="str">
        <f>"27"</f>
        <v>27</v>
      </c>
      <c r="G865" s="4" t="s">
        <v>27</v>
      </c>
      <c r="H865" s="5">
        <v>63.45</v>
      </c>
      <c r="I865" s="4"/>
      <c r="J865" s="4">
        <f>SUMPRODUCT(--((A865=$A$3:$A$2785)*$H$3:$H$2785&gt;H865))+1</f>
        <v>5</v>
      </c>
    </row>
    <row r="866" s="1" customFormat="true" customHeight="true" spans="1:10">
      <c r="A866" s="4" t="str">
        <f t="shared" si="118"/>
        <v>018</v>
      </c>
      <c r="B866" s="4" t="s">
        <v>30</v>
      </c>
      <c r="C866" s="4" t="str">
        <f>"杨丽娟"</f>
        <v>杨丽娟</v>
      </c>
      <c r="D866" s="4" t="str">
        <f>"2021021828"</f>
        <v>2021021828</v>
      </c>
      <c r="E866" s="4" t="str">
        <f t="shared" si="119"/>
        <v>18</v>
      </c>
      <c r="F866" s="4" t="str">
        <f>"28"</f>
        <v>28</v>
      </c>
      <c r="G866" s="4" t="s">
        <v>27</v>
      </c>
      <c r="H866" s="5">
        <v>62.95</v>
      </c>
      <c r="I866" s="4"/>
      <c r="J866" s="4">
        <f>SUMPRODUCT(--((A866=$A$3:$A$2785)*$H$3:$H$2785&gt;H866))+1</f>
        <v>6</v>
      </c>
    </row>
    <row r="867" s="1" customFormat="true" customHeight="true" spans="1:10">
      <c r="A867" s="4" t="str">
        <f t="shared" si="118"/>
        <v>018</v>
      </c>
      <c r="B867" s="4" t="s">
        <v>30</v>
      </c>
      <c r="C867" s="4" t="str">
        <f>"曹雅歆"</f>
        <v>曹雅歆</v>
      </c>
      <c r="D867" s="4" t="str">
        <f>"2021021909"</f>
        <v>2021021909</v>
      </c>
      <c r="E867" s="4" t="str">
        <f t="shared" ref="E867:E870" si="120">"19"</f>
        <v>19</v>
      </c>
      <c r="F867" s="4" t="str">
        <f>"09"</f>
        <v>09</v>
      </c>
      <c r="G867" s="4" t="s">
        <v>27</v>
      </c>
      <c r="H867" s="5">
        <v>62.9</v>
      </c>
      <c r="I867" s="4"/>
      <c r="J867" s="4">
        <f>SUMPRODUCT(--((A867=$A$3:$A$2785)*$H$3:$H$2785&gt;H867))+1</f>
        <v>7</v>
      </c>
    </row>
    <row r="868" s="1" customFormat="true" customHeight="true" spans="1:10">
      <c r="A868" s="4" t="str">
        <f t="shared" si="118"/>
        <v>018</v>
      </c>
      <c r="B868" s="4" t="s">
        <v>30</v>
      </c>
      <c r="C868" s="4" t="str">
        <f>"陈然"</f>
        <v>陈然</v>
      </c>
      <c r="D868" s="4" t="str">
        <f>"2021021829"</f>
        <v>2021021829</v>
      </c>
      <c r="E868" s="4" t="str">
        <f t="shared" ref="E868:E874" si="121">"18"</f>
        <v>18</v>
      </c>
      <c r="F868" s="4" t="str">
        <f>"29"</f>
        <v>29</v>
      </c>
      <c r="G868" s="4" t="s">
        <v>27</v>
      </c>
      <c r="H868" s="5">
        <v>62.4</v>
      </c>
      <c r="I868" s="4"/>
      <c r="J868" s="4">
        <f>SUMPRODUCT(--((A868=$A$3:$A$2785)*$H$3:$H$2785&gt;H868))+1</f>
        <v>8</v>
      </c>
    </row>
    <row r="869" s="1" customFormat="true" customHeight="true" spans="1:10">
      <c r="A869" s="4" t="str">
        <f t="shared" si="118"/>
        <v>018</v>
      </c>
      <c r="B869" s="4" t="s">
        <v>30</v>
      </c>
      <c r="C869" s="4" t="str">
        <f>"覃天惠"</f>
        <v>覃天惠</v>
      </c>
      <c r="D869" s="4" t="str">
        <f>"2021021906"</f>
        <v>2021021906</v>
      </c>
      <c r="E869" s="4" t="str">
        <f t="shared" si="120"/>
        <v>19</v>
      </c>
      <c r="F869" s="4" t="str">
        <f>"06"</f>
        <v>06</v>
      </c>
      <c r="G869" s="4" t="s">
        <v>27</v>
      </c>
      <c r="H869" s="5">
        <v>60.3</v>
      </c>
      <c r="I869" s="4"/>
      <c r="J869" s="4">
        <f>SUMPRODUCT(--((A869=$A$3:$A$2785)*$H$3:$H$2785&gt;H869))+1</f>
        <v>9</v>
      </c>
    </row>
    <row r="870" s="1" customFormat="true" customHeight="true" spans="1:10">
      <c r="A870" s="4" t="str">
        <f t="shared" si="118"/>
        <v>018</v>
      </c>
      <c r="B870" s="4" t="s">
        <v>30</v>
      </c>
      <c r="C870" s="4" t="str">
        <f>"梁慧"</f>
        <v>梁慧</v>
      </c>
      <c r="D870" s="4" t="str">
        <f>"2021021902"</f>
        <v>2021021902</v>
      </c>
      <c r="E870" s="4" t="str">
        <f t="shared" si="120"/>
        <v>19</v>
      </c>
      <c r="F870" s="4" t="str">
        <f>"02"</f>
        <v>02</v>
      </c>
      <c r="G870" s="4" t="s">
        <v>27</v>
      </c>
      <c r="H870" s="5">
        <v>58.05</v>
      </c>
      <c r="I870" s="4"/>
      <c r="J870" s="4">
        <f>SUMPRODUCT(--((A870=$A$3:$A$2785)*$H$3:$H$2785&gt;H870))+1</f>
        <v>10</v>
      </c>
    </row>
    <row r="871" s="1" customFormat="true" customHeight="true" spans="1:10">
      <c r="A871" s="4" t="str">
        <f t="shared" si="118"/>
        <v>018</v>
      </c>
      <c r="B871" s="4" t="s">
        <v>30</v>
      </c>
      <c r="C871" s="4" t="str">
        <f>"王晓凤"</f>
        <v>王晓凤</v>
      </c>
      <c r="D871" s="4" t="str">
        <f>"2021021821"</f>
        <v>2021021821</v>
      </c>
      <c r="E871" s="4" t="str">
        <f t="shared" si="121"/>
        <v>18</v>
      </c>
      <c r="F871" s="4" t="str">
        <f>"21"</f>
        <v>21</v>
      </c>
      <c r="G871" s="4" t="s">
        <v>27</v>
      </c>
      <c r="H871" s="5">
        <v>0</v>
      </c>
      <c r="I871" s="6" t="s">
        <v>13</v>
      </c>
      <c r="J871" s="4">
        <f>SUMPRODUCT(--((A871=$A$3:$A$2785)*$H$3:$H$2785&gt;H871))+1</f>
        <v>11</v>
      </c>
    </row>
    <row r="872" s="1" customFormat="true" customHeight="true" spans="1:10">
      <c r="A872" s="4" t="str">
        <f t="shared" si="118"/>
        <v>018</v>
      </c>
      <c r="B872" s="4" t="s">
        <v>30</v>
      </c>
      <c r="C872" s="4" t="str">
        <f>"周俊宁"</f>
        <v>周俊宁</v>
      </c>
      <c r="D872" s="4" t="str">
        <f>"2021021822"</f>
        <v>2021021822</v>
      </c>
      <c r="E872" s="4" t="str">
        <f t="shared" si="121"/>
        <v>18</v>
      </c>
      <c r="F872" s="4" t="str">
        <f>"22"</f>
        <v>22</v>
      </c>
      <c r="G872" s="4" t="s">
        <v>27</v>
      </c>
      <c r="H872" s="5">
        <v>0</v>
      </c>
      <c r="I872" s="6" t="s">
        <v>13</v>
      </c>
      <c r="J872" s="4">
        <f>SUMPRODUCT(--((A872=$A$3:$A$2785)*$H$3:$H$2785&gt;H872))+1</f>
        <v>11</v>
      </c>
    </row>
    <row r="873" s="1" customFormat="true" customHeight="true" spans="1:10">
      <c r="A873" s="4" t="str">
        <f t="shared" si="118"/>
        <v>018</v>
      </c>
      <c r="B873" s="4" t="s">
        <v>30</v>
      </c>
      <c r="C873" s="4" t="str">
        <f>"王金莎"</f>
        <v>王金莎</v>
      </c>
      <c r="D873" s="4" t="str">
        <f>"2021021826"</f>
        <v>2021021826</v>
      </c>
      <c r="E873" s="4" t="str">
        <f t="shared" si="121"/>
        <v>18</v>
      </c>
      <c r="F873" s="4" t="str">
        <f>"26"</f>
        <v>26</v>
      </c>
      <c r="G873" s="4" t="s">
        <v>27</v>
      </c>
      <c r="H873" s="5">
        <v>0</v>
      </c>
      <c r="I873" s="6" t="s">
        <v>13</v>
      </c>
      <c r="J873" s="4">
        <f>SUMPRODUCT(--((A873=$A$3:$A$2785)*$H$3:$H$2785&gt;H873))+1</f>
        <v>11</v>
      </c>
    </row>
    <row r="874" s="1" customFormat="true" customHeight="true" spans="1:10">
      <c r="A874" s="4" t="str">
        <f t="shared" si="118"/>
        <v>018</v>
      </c>
      <c r="B874" s="4" t="s">
        <v>30</v>
      </c>
      <c r="C874" s="4" t="str">
        <f>"陈韦君"</f>
        <v>陈韦君</v>
      </c>
      <c r="D874" s="4" t="str">
        <f>"2021021830"</f>
        <v>2021021830</v>
      </c>
      <c r="E874" s="4" t="str">
        <f t="shared" si="121"/>
        <v>18</v>
      </c>
      <c r="F874" s="4" t="str">
        <f>"30"</f>
        <v>30</v>
      </c>
      <c r="G874" s="4" t="s">
        <v>27</v>
      </c>
      <c r="H874" s="5">
        <v>0</v>
      </c>
      <c r="I874" s="6" t="s">
        <v>13</v>
      </c>
      <c r="J874" s="4">
        <f>SUMPRODUCT(--((A874=$A$3:$A$2785)*$H$3:$H$2785&gt;H874))+1</f>
        <v>11</v>
      </c>
    </row>
    <row r="875" s="1" customFormat="true" customHeight="true" spans="1:10">
      <c r="A875" s="4" t="str">
        <f t="shared" si="118"/>
        <v>018</v>
      </c>
      <c r="B875" s="4" t="s">
        <v>30</v>
      </c>
      <c r="C875" s="4" t="str">
        <f>"肖金建"</f>
        <v>肖金建</v>
      </c>
      <c r="D875" s="4" t="str">
        <f>"2021021901"</f>
        <v>2021021901</v>
      </c>
      <c r="E875" s="4" t="str">
        <f t="shared" ref="E875:E880" si="122">"19"</f>
        <v>19</v>
      </c>
      <c r="F875" s="4" t="str">
        <f>"01"</f>
        <v>01</v>
      </c>
      <c r="G875" s="4" t="s">
        <v>27</v>
      </c>
      <c r="H875" s="5">
        <v>0</v>
      </c>
      <c r="I875" s="6" t="s">
        <v>13</v>
      </c>
      <c r="J875" s="4">
        <f>SUMPRODUCT(--((A875=$A$3:$A$2785)*$H$3:$H$2785&gt;H875))+1</f>
        <v>11</v>
      </c>
    </row>
    <row r="876" s="1" customFormat="true" customHeight="true" spans="1:10">
      <c r="A876" s="4" t="str">
        <f t="shared" si="118"/>
        <v>018</v>
      </c>
      <c r="B876" s="4" t="s">
        <v>30</v>
      </c>
      <c r="C876" s="4" t="str">
        <f>"吴栖华"</f>
        <v>吴栖华</v>
      </c>
      <c r="D876" s="4" t="str">
        <f>"2021021904"</f>
        <v>2021021904</v>
      </c>
      <c r="E876" s="4" t="str">
        <f t="shared" si="122"/>
        <v>19</v>
      </c>
      <c r="F876" s="4" t="str">
        <f>"04"</f>
        <v>04</v>
      </c>
      <c r="G876" s="4" t="s">
        <v>27</v>
      </c>
      <c r="H876" s="5">
        <v>0</v>
      </c>
      <c r="I876" s="6" t="s">
        <v>13</v>
      </c>
      <c r="J876" s="4">
        <f>SUMPRODUCT(--((A876=$A$3:$A$2785)*$H$3:$H$2785&gt;H876))+1</f>
        <v>11</v>
      </c>
    </row>
    <row r="877" s="1" customFormat="true" customHeight="true" spans="1:10">
      <c r="A877" s="4" t="str">
        <f t="shared" si="118"/>
        <v>018</v>
      </c>
      <c r="B877" s="4" t="s">
        <v>30</v>
      </c>
      <c r="C877" s="4" t="str">
        <f>"赵子华"</f>
        <v>赵子华</v>
      </c>
      <c r="D877" s="4" t="str">
        <f>"2021021905"</f>
        <v>2021021905</v>
      </c>
      <c r="E877" s="4" t="str">
        <f t="shared" si="122"/>
        <v>19</v>
      </c>
      <c r="F877" s="4" t="str">
        <f>"05"</f>
        <v>05</v>
      </c>
      <c r="G877" s="4" t="s">
        <v>27</v>
      </c>
      <c r="H877" s="5">
        <v>0</v>
      </c>
      <c r="I877" s="6" t="s">
        <v>13</v>
      </c>
      <c r="J877" s="4">
        <f>SUMPRODUCT(--((A877=$A$3:$A$2785)*$H$3:$H$2785&gt;H877))+1</f>
        <v>11</v>
      </c>
    </row>
    <row r="878" s="1" customFormat="true" customHeight="true" spans="1:10">
      <c r="A878" s="4" t="str">
        <f t="shared" si="118"/>
        <v>018</v>
      </c>
      <c r="B878" s="4" t="s">
        <v>30</v>
      </c>
      <c r="C878" s="4" t="str">
        <f>"文谷伊"</f>
        <v>文谷伊</v>
      </c>
      <c r="D878" s="4" t="str">
        <f>"2021021907"</f>
        <v>2021021907</v>
      </c>
      <c r="E878" s="4" t="str">
        <f t="shared" si="122"/>
        <v>19</v>
      </c>
      <c r="F878" s="4" t="str">
        <f>"07"</f>
        <v>07</v>
      </c>
      <c r="G878" s="4" t="s">
        <v>27</v>
      </c>
      <c r="H878" s="5">
        <v>0</v>
      </c>
      <c r="I878" s="6" t="s">
        <v>13</v>
      </c>
      <c r="J878" s="4">
        <f>SUMPRODUCT(--((A878=$A$3:$A$2785)*$H$3:$H$2785&gt;H878))+1</f>
        <v>11</v>
      </c>
    </row>
    <row r="879" s="1" customFormat="true" customHeight="true" spans="1:10">
      <c r="A879" s="4" t="str">
        <f t="shared" si="118"/>
        <v>018</v>
      </c>
      <c r="B879" s="4" t="s">
        <v>30</v>
      </c>
      <c r="C879" s="4" t="str">
        <f>"杨开鑫"</f>
        <v>杨开鑫</v>
      </c>
      <c r="D879" s="4" t="str">
        <f>"2021021908"</f>
        <v>2021021908</v>
      </c>
      <c r="E879" s="4" t="str">
        <f t="shared" si="122"/>
        <v>19</v>
      </c>
      <c r="F879" s="4" t="str">
        <f>"08"</f>
        <v>08</v>
      </c>
      <c r="G879" s="4" t="s">
        <v>27</v>
      </c>
      <c r="H879" s="5">
        <v>0</v>
      </c>
      <c r="I879" s="6" t="s">
        <v>13</v>
      </c>
      <c r="J879" s="4">
        <f>SUMPRODUCT(--((A879=$A$3:$A$2785)*$H$3:$H$2785&gt;H879))+1</f>
        <v>11</v>
      </c>
    </row>
    <row r="880" s="1" customFormat="true" customHeight="true" spans="1:10">
      <c r="A880" s="4" t="str">
        <f t="shared" si="118"/>
        <v>018</v>
      </c>
      <c r="B880" s="4" t="s">
        <v>30</v>
      </c>
      <c r="C880" s="4" t="str">
        <f>"张蓉"</f>
        <v>张蓉</v>
      </c>
      <c r="D880" s="4" t="str">
        <f>"2021021910"</f>
        <v>2021021910</v>
      </c>
      <c r="E880" s="4" t="str">
        <f t="shared" si="122"/>
        <v>19</v>
      </c>
      <c r="F880" s="4" t="str">
        <f>"10"</f>
        <v>10</v>
      </c>
      <c r="G880" s="4" t="s">
        <v>27</v>
      </c>
      <c r="H880" s="5">
        <v>0</v>
      </c>
      <c r="I880" s="6" t="s">
        <v>13</v>
      </c>
      <c r="J880" s="4">
        <f>SUMPRODUCT(--((A880=$A$3:$A$2785)*$H$3:$H$2785&gt;H880))+1</f>
        <v>11</v>
      </c>
    </row>
    <row r="881" s="1" customFormat="true" customHeight="true" spans="1:10">
      <c r="A881" s="4" t="str">
        <f t="shared" ref="A881:A932" si="123">"019"</f>
        <v>019</v>
      </c>
      <c r="B881" s="4" t="s">
        <v>31</v>
      </c>
      <c r="C881" s="4" t="str">
        <f>"肖莼"</f>
        <v>肖莼</v>
      </c>
      <c r="D881" s="4" t="str">
        <f>"2021022609"</f>
        <v>2021022609</v>
      </c>
      <c r="E881" s="4" t="str">
        <f t="shared" ref="E881:E885" si="124">"26"</f>
        <v>26</v>
      </c>
      <c r="F881" s="4" t="str">
        <f>"09"</f>
        <v>09</v>
      </c>
      <c r="G881" s="4" t="s">
        <v>27</v>
      </c>
      <c r="H881" s="5">
        <v>68.3</v>
      </c>
      <c r="I881" s="4"/>
      <c r="J881" s="4">
        <f>SUMPRODUCT(--((A881=$A$3:$A$2785)*$H$3:$H$2785&gt;H881))+1</f>
        <v>1</v>
      </c>
    </row>
    <row r="882" s="1" customFormat="true" customHeight="true" spans="1:10">
      <c r="A882" s="4" t="str">
        <f t="shared" si="123"/>
        <v>019</v>
      </c>
      <c r="B882" s="4" t="s">
        <v>31</v>
      </c>
      <c r="C882" s="4" t="str">
        <f>"陈江"</f>
        <v>陈江</v>
      </c>
      <c r="D882" s="4" t="str">
        <f>"2021022702"</f>
        <v>2021022702</v>
      </c>
      <c r="E882" s="4" t="str">
        <f t="shared" ref="E882:E886" si="125">"27"</f>
        <v>27</v>
      </c>
      <c r="F882" s="4" t="str">
        <f>"02"</f>
        <v>02</v>
      </c>
      <c r="G882" s="4" t="s">
        <v>27</v>
      </c>
      <c r="H882" s="5">
        <v>68.24</v>
      </c>
      <c r="I882" s="4"/>
      <c r="J882" s="4">
        <f>SUMPRODUCT(--((A882=$A$3:$A$2785)*$H$3:$H$2785&gt;H882))+1</f>
        <v>2</v>
      </c>
    </row>
    <row r="883" s="1" customFormat="true" customHeight="true" spans="1:10">
      <c r="A883" s="4" t="str">
        <f t="shared" si="123"/>
        <v>019</v>
      </c>
      <c r="B883" s="4" t="s">
        <v>31</v>
      </c>
      <c r="C883" s="4" t="str">
        <f>"杨璐平"</f>
        <v>杨璐平</v>
      </c>
      <c r="D883" s="4" t="str">
        <f>"2021022626"</f>
        <v>2021022626</v>
      </c>
      <c r="E883" s="4" t="str">
        <f t="shared" si="124"/>
        <v>26</v>
      </c>
      <c r="F883" s="4" t="str">
        <f>"26"</f>
        <v>26</v>
      </c>
      <c r="G883" s="4" t="s">
        <v>27</v>
      </c>
      <c r="H883" s="5">
        <v>65.76</v>
      </c>
      <c r="I883" s="4"/>
      <c r="J883" s="4">
        <f>SUMPRODUCT(--((A883=$A$3:$A$2785)*$H$3:$H$2785&gt;H883))+1</f>
        <v>3</v>
      </c>
    </row>
    <row r="884" s="1" customFormat="true" customHeight="true" spans="1:10">
      <c r="A884" s="4" t="str">
        <f t="shared" si="123"/>
        <v>019</v>
      </c>
      <c r="B884" s="4" t="s">
        <v>31</v>
      </c>
      <c r="C884" s="4" t="str">
        <f>"黄芸芸"</f>
        <v>黄芸芸</v>
      </c>
      <c r="D884" s="4" t="str">
        <f>"2021022705"</f>
        <v>2021022705</v>
      </c>
      <c r="E884" s="4" t="str">
        <f t="shared" si="125"/>
        <v>27</v>
      </c>
      <c r="F884" s="4" t="str">
        <f>"05"</f>
        <v>05</v>
      </c>
      <c r="G884" s="4" t="s">
        <v>27</v>
      </c>
      <c r="H884" s="5">
        <v>61.84</v>
      </c>
      <c r="I884" s="4"/>
      <c r="J884" s="4">
        <f>SUMPRODUCT(--((A884=$A$3:$A$2785)*$H$3:$H$2785&gt;H884))+1</f>
        <v>4</v>
      </c>
    </row>
    <row r="885" s="1" customFormat="true" customHeight="true" spans="1:10">
      <c r="A885" s="4" t="str">
        <f t="shared" si="123"/>
        <v>019</v>
      </c>
      <c r="B885" s="4" t="s">
        <v>31</v>
      </c>
      <c r="C885" s="4" t="str">
        <f>"谌旭源"</f>
        <v>谌旭源</v>
      </c>
      <c r="D885" s="4" t="str">
        <f>"2021022608"</f>
        <v>2021022608</v>
      </c>
      <c r="E885" s="4" t="str">
        <f t="shared" si="124"/>
        <v>26</v>
      </c>
      <c r="F885" s="4" t="str">
        <f>"08"</f>
        <v>08</v>
      </c>
      <c r="G885" s="4" t="s">
        <v>27</v>
      </c>
      <c r="H885" s="5">
        <v>60.46</v>
      </c>
      <c r="I885" s="4"/>
      <c r="J885" s="4">
        <f>SUMPRODUCT(--((A885=$A$3:$A$2785)*$H$3:$H$2785&gt;H885))+1</f>
        <v>5</v>
      </c>
    </row>
    <row r="886" s="1" customFormat="true" customHeight="true" spans="1:10">
      <c r="A886" s="4" t="str">
        <f t="shared" si="123"/>
        <v>019</v>
      </c>
      <c r="B886" s="4" t="s">
        <v>31</v>
      </c>
      <c r="C886" s="4" t="str">
        <f>"尹春平"</f>
        <v>尹春平</v>
      </c>
      <c r="D886" s="4" t="str">
        <f>"2021022701"</f>
        <v>2021022701</v>
      </c>
      <c r="E886" s="4" t="str">
        <f t="shared" si="125"/>
        <v>27</v>
      </c>
      <c r="F886" s="4" t="str">
        <f>"01"</f>
        <v>01</v>
      </c>
      <c r="G886" s="4" t="s">
        <v>27</v>
      </c>
      <c r="H886" s="5">
        <v>60.4</v>
      </c>
      <c r="I886" s="4"/>
      <c r="J886" s="4">
        <f>SUMPRODUCT(--((A886=$A$3:$A$2785)*$H$3:$H$2785&gt;H886))+1</f>
        <v>6</v>
      </c>
    </row>
    <row r="887" s="1" customFormat="true" customHeight="true" spans="1:10">
      <c r="A887" s="4" t="str">
        <f t="shared" si="123"/>
        <v>019</v>
      </c>
      <c r="B887" s="4" t="s">
        <v>31</v>
      </c>
      <c r="C887" s="4" t="str">
        <f>"王静"</f>
        <v>王静</v>
      </c>
      <c r="D887" s="4" t="str">
        <f>"2021022605"</f>
        <v>2021022605</v>
      </c>
      <c r="E887" s="4" t="str">
        <f t="shared" ref="E887:E894" si="126">"26"</f>
        <v>26</v>
      </c>
      <c r="F887" s="4" t="str">
        <f>"05"</f>
        <v>05</v>
      </c>
      <c r="G887" s="4" t="s">
        <v>27</v>
      </c>
      <c r="H887" s="5">
        <v>57.16</v>
      </c>
      <c r="I887" s="4"/>
      <c r="J887" s="4">
        <f>SUMPRODUCT(--((A887=$A$3:$A$2785)*$H$3:$H$2785&gt;H887))+1</f>
        <v>7</v>
      </c>
    </row>
    <row r="888" s="1" customFormat="true" customHeight="true" spans="1:10">
      <c r="A888" s="4" t="str">
        <f t="shared" si="123"/>
        <v>019</v>
      </c>
      <c r="B888" s="4" t="s">
        <v>31</v>
      </c>
      <c r="C888" s="4" t="str">
        <f>"张丽婷"</f>
        <v>张丽婷</v>
      </c>
      <c r="D888" s="4" t="str">
        <f>"2021022522"</f>
        <v>2021022522</v>
      </c>
      <c r="E888" s="4" t="str">
        <f>"25"</f>
        <v>25</v>
      </c>
      <c r="F888" s="4" t="str">
        <f>"22"</f>
        <v>22</v>
      </c>
      <c r="G888" s="4" t="s">
        <v>27</v>
      </c>
      <c r="H888" s="5">
        <v>57.12</v>
      </c>
      <c r="I888" s="4"/>
      <c r="J888" s="4">
        <f>SUMPRODUCT(--((A888=$A$3:$A$2785)*$H$3:$H$2785&gt;H888))+1</f>
        <v>8</v>
      </c>
    </row>
    <row r="889" s="1" customFormat="true" customHeight="true" spans="1:10">
      <c r="A889" s="4" t="str">
        <f t="shared" si="123"/>
        <v>019</v>
      </c>
      <c r="B889" s="4" t="s">
        <v>31</v>
      </c>
      <c r="C889" s="4" t="str">
        <f>"蒲宏文"</f>
        <v>蒲宏文</v>
      </c>
      <c r="D889" s="4" t="str">
        <f>"2021022602"</f>
        <v>2021022602</v>
      </c>
      <c r="E889" s="4" t="str">
        <f t="shared" si="126"/>
        <v>26</v>
      </c>
      <c r="F889" s="4" t="str">
        <f>"02"</f>
        <v>02</v>
      </c>
      <c r="G889" s="4" t="s">
        <v>27</v>
      </c>
      <c r="H889" s="5">
        <v>56.28</v>
      </c>
      <c r="I889" s="4"/>
      <c r="J889" s="4">
        <f>SUMPRODUCT(--((A889=$A$3:$A$2785)*$H$3:$H$2785&gt;H889))+1</f>
        <v>9</v>
      </c>
    </row>
    <row r="890" s="1" customFormat="true" customHeight="true" spans="1:10">
      <c r="A890" s="4" t="str">
        <f t="shared" si="123"/>
        <v>019</v>
      </c>
      <c r="B890" s="4" t="s">
        <v>31</v>
      </c>
      <c r="C890" s="4" t="str">
        <f>"陈素蓉"</f>
        <v>陈素蓉</v>
      </c>
      <c r="D890" s="4" t="str">
        <f>"2021022615"</f>
        <v>2021022615</v>
      </c>
      <c r="E890" s="4" t="str">
        <f t="shared" si="126"/>
        <v>26</v>
      </c>
      <c r="F890" s="4" t="str">
        <f>"15"</f>
        <v>15</v>
      </c>
      <c r="G890" s="4" t="s">
        <v>27</v>
      </c>
      <c r="H890" s="5">
        <v>55.72</v>
      </c>
      <c r="I890" s="4"/>
      <c r="J890" s="4">
        <f>SUMPRODUCT(--((A890=$A$3:$A$2785)*$H$3:$H$2785&gt;H890))+1</f>
        <v>10</v>
      </c>
    </row>
    <row r="891" s="1" customFormat="true" customHeight="true" spans="1:10">
      <c r="A891" s="4" t="str">
        <f t="shared" si="123"/>
        <v>019</v>
      </c>
      <c r="B891" s="4" t="s">
        <v>31</v>
      </c>
      <c r="C891" s="4" t="str">
        <f>"吴金余"</f>
        <v>吴金余</v>
      </c>
      <c r="D891" s="4" t="str">
        <f>"2021022630"</f>
        <v>2021022630</v>
      </c>
      <c r="E891" s="4" t="str">
        <f t="shared" si="126"/>
        <v>26</v>
      </c>
      <c r="F891" s="4" t="str">
        <f>"30"</f>
        <v>30</v>
      </c>
      <c r="G891" s="4" t="s">
        <v>27</v>
      </c>
      <c r="H891" s="5">
        <v>55.68</v>
      </c>
      <c r="I891" s="4"/>
      <c r="J891" s="4">
        <f>SUMPRODUCT(--((A891=$A$3:$A$2785)*$H$3:$H$2785&gt;H891))+1</f>
        <v>11</v>
      </c>
    </row>
    <row r="892" s="1" customFormat="true" customHeight="true" spans="1:10">
      <c r="A892" s="4" t="str">
        <f t="shared" si="123"/>
        <v>019</v>
      </c>
      <c r="B892" s="4" t="s">
        <v>31</v>
      </c>
      <c r="C892" s="4" t="str">
        <f>"满凌"</f>
        <v>满凌</v>
      </c>
      <c r="D892" s="4" t="str">
        <f>"2021022606"</f>
        <v>2021022606</v>
      </c>
      <c r="E892" s="4" t="str">
        <f t="shared" si="126"/>
        <v>26</v>
      </c>
      <c r="F892" s="4" t="str">
        <f>"06"</f>
        <v>06</v>
      </c>
      <c r="G892" s="4" t="s">
        <v>27</v>
      </c>
      <c r="H892" s="5">
        <v>55.51</v>
      </c>
      <c r="I892" s="4"/>
      <c r="J892" s="4">
        <f>SUMPRODUCT(--((A892=$A$3:$A$2785)*$H$3:$H$2785&gt;H892))+1</f>
        <v>12</v>
      </c>
    </row>
    <row r="893" s="1" customFormat="true" customHeight="true" spans="1:10">
      <c r="A893" s="4" t="str">
        <f t="shared" si="123"/>
        <v>019</v>
      </c>
      <c r="B893" s="4" t="s">
        <v>31</v>
      </c>
      <c r="C893" s="4" t="str">
        <f>"彭秋阳"</f>
        <v>彭秋阳</v>
      </c>
      <c r="D893" s="4" t="str">
        <f>"2021022610"</f>
        <v>2021022610</v>
      </c>
      <c r="E893" s="4" t="str">
        <f t="shared" si="126"/>
        <v>26</v>
      </c>
      <c r="F893" s="4" t="str">
        <f>"10"</f>
        <v>10</v>
      </c>
      <c r="G893" s="4" t="s">
        <v>27</v>
      </c>
      <c r="H893" s="5">
        <v>55.24</v>
      </c>
      <c r="I893" s="4"/>
      <c r="J893" s="4">
        <f>SUMPRODUCT(--((A893=$A$3:$A$2785)*$H$3:$H$2785&gt;H893))+1</f>
        <v>13</v>
      </c>
    </row>
    <row r="894" s="1" customFormat="true" customHeight="true" spans="1:10">
      <c r="A894" s="4" t="str">
        <f t="shared" si="123"/>
        <v>019</v>
      </c>
      <c r="B894" s="4" t="s">
        <v>31</v>
      </c>
      <c r="C894" s="4" t="str">
        <f>"杨红"</f>
        <v>杨红</v>
      </c>
      <c r="D894" s="4" t="str">
        <f>"2021022616"</f>
        <v>2021022616</v>
      </c>
      <c r="E894" s="4" t="str">
        <f t="shared" si="126"/>
        <v>26</v>
      </c>
      <c r="F894" s="4" t="str">
        <f>"16"</f>
        <v>16</v>
      </c>
      <c r="G894" s="4" t="s">
        <v>27</v>
      </c>
      <c r="H894" s="5">
        <v>55.24</v>
      </c>
      <c r="I894" s="4"/>
      <c r="J894" s="4">
        <f>SUMPRODUCT(--((A894=$A$3:$A$2785)*$H$3:$H$2785&gt;H894))+1</f>
        <v>13</v>
      </c>
    </row>
    <row r="895" s="1" customFormat="true" customHeight="true" spans="1:10">
      <c r="A895" s="4" t="str">
        <f t="shared" si="123"/>
        <v>019</v>
      </c>
      <c r="B895" s="4" t="s">
        <v>31</v>
      </c>
      <c r="C895" s="4" t="str">
        <f>"贺美娟"</f>
        <v>贺美娟</v>
      </c>
      <c r="D895" s="4" t="str">
        <f>"2021022709"</f>
        <v>2021022709</v>
      </c>
      <c r="E895" s="4" t="str">
        <f>"27"</f>
        <v>27</v>
      </c>
      <c r="F895" s="4" t="str">
        <f>"09"</f>
        <v>09</v>
      </c>
      <c r="G895" s="4" t="s">
        <v>27</v>
      </c>
      <c r="H895" s="5">
        <v>55.14</v>
      </c>
      <c r="I895" s="4"/>
      <c r="J895" s="4">
        <f>SUMPRODUCT(--((A895=$A$3:$A$2785)*$H$3:$H$2785&gt;H895))+1</f>
        <v>15</v>
      </c>
    </row>
    <row r="896" s="1" customFormat="true" customHeight="true" spans="1:10">
      <c r="A896" s="4" t="str">
        <f t="shared" si="123"/>
        <v>019</v>
      </c>
      <c r="B896" s="4" t="s">
        <v>31</v>
      </c>
      <c r="C896" s="4" t="str">
        <f>"吴婷婷"</f>
        <v>吴婷婷</v>
      </c>
      <c r="D896" s="4" t="str">
        <f>"2021022601"</f>
        <v>2021022601</v>
      </c>
      <c r="E896" s="4" t="str">
        <f t="shared" ref="E896:E899" si="127">"26"</f>
        <v>26</v>
      </c>
      <c r="F896" s="4" t="str">
        <f>"01"</f>
        <v>01</v>
      </c>
      <c r="G896" s="4" t="s">
        <v>27</v>
      </c>
      <c r="H896" s="5">
        <v>54.82</v>
      </c>
      <c r="I896" s="4"/>
      <c r="J896" s="4">
        <f>SUMPRODUCT(--((A896=$A$3:$A$2785)*$H$3:$H$2785&gt;H896))+1</f>
        <v>16</v>
      </c>
    </row>
    <row r="897" s="1" customFormat="true" customHeight="true" spans="1:10">
      <c r="A897" s="4" t="str">
        <f t="shared" si="123"/>
        <v>019</v>
      </c>
      <c r="B897" s="4" t="s">
        <v>31</v>
      </c>
      <c r="C897" s="4" t="str">
        <f>"刘娜"</f>
        <v>刘娜</v>
      </c>
      <c r="D897" s="4" t="str">
        <f>"2021022704"</f>
        <v>2021022704</v>
      </c>
      <c r="E897" s="4" t="str">
        <f>"27"</f>
        <v>27</v>
      </c>
      <c r="F897" s="4" t="str">
        <f>"04"</f>
        <v>04</v>
      </c>
      <c r="G897" s="4" t="s">
        <v>27</v>
      </c>
      <c r="H897" s="5">
        <v>54.24</v>
      </c>
      <c r="I897" s="4"/>
      <c r="J897" s="4">
        <f>SUMPRODUCT(--((A897=$A$3:$A$2785)*$H$3:$H$2785&gt;H897))+1</f>
        <v>17</v>
      </c>
    </row>
    <row r="898" s="1" customFormat="true" customHeight="true" spans="1:10">
      <c r="A898" s="4" t="str">
        <f t="shared" si="123"/>
        <v>019</v>
      </c>
      <c r="B898" s="4" t="s">
        <v>31</v>
      </c>
      <c r="C898" s="4" t="str">
        <f>"李其霞"</f>
        <v>李其霞</v>
      </c>
      <c r="D898" s="4" t="str">
        <f>"2021022625"</f>
        <v>2021022625</v>
      </c>
      <c r="E898" s="4" t="str">
        <f t="shared" si="127"/>
        <v>26</v>
      </c>
      <c r="F898" s="4" t="str">
        <f>"25"</f>
        <v>25</v>
      </c>
      <c r="G898" s="4" t="s">
        <v>27</v>
      </c>
      <c r="H898" s="5">
        <v>53.84</v>
      </c>
      <c r="I898" s="4"/>
      <c r="J898" s="4">
        <f>SUMPRODUCT(--((A898=$A$3:$A$2785)*$H$3:$H$2785&gt;H898))+1</f>
        <v>18</v>
      </c>
    </row>
    <row r="899" s="1" customFormat="true" customHeight="true" spans="1:10">
      <c r="A899" s="4" t="str">
        <f t="shared" si="123"/>
        <v>019</v>
      </c>
      <c r="B899" s="4" t="s">
        <v>31</v>
      </c>
      <c r="C899" s="4" t="str">
        <f>"粟蓉"</f>
        <v>粟蓉</v>
      </c>
      <c r="D899" s="4" t="str">
        <f>"2021022628"</f>
        <v>2021022628</v>
      </c>
      <c r="E899" s="4" t="str">
        <f t="shared" si="127"/>
        <v>26</v>
      </c>
      <c r="F899" s="4" t="str">
        <f>"28"</f>
        <v>28</v>
      </c>
      <c r="G899" s="4" t="s">
        <v>27</v>
      </c>
      <c r="H899" s="5">
        <v>53.76</v>
      </c>
      <c r="I899" s="4"/>
      <c r="J899" s="4">
        <f>SUMPRODUCT(--((A899=$A$3:$A$2785)*$H$3:$H$2785&gt;H899))+1</f>
        <v>19</v>
      </c>
    </row>
    <row r="900" s="1" customFormat="true" customHeight="true" spans="1:10">
      <c r="A900" s="4" t="str">
        <f t="shared" si="123"/>
        <v>019</v>
      </c>
      <c r="B900" s="4" t="s">
        <v>31</v>
      </c>
      <c r="C900" s="4" t="str">
        <f>"余海燕"</f>
        <v>余海燕</v>
      </c>
      <c r="D900" s="4" t="str">
        <f>"2021022528"</f>
        <v>2021022528</v>
      </c>
      <c r="E900" s="4" t="str">
        <f>"25"</f>
        <v>25</v>
      </c>
      <c r="F900" s="4" t="str">
        <f>"28"</f>
        <v>28</v>
      </c>
      <c r="G900" s="4" t="s">
        <v>27</v>
      </c>
      <c r="H900" s="5">
        <v>53.32</v>
      </c>
      <c r="I900" s="4"/>
      <c r="J900" s="4">
        <f>SUMPRODUCT(--((A900=$A$3:$A$2785)*$H$3:$H$2785&gt;H900))+1</f>
        <v>20</v>
      </c>
    </row>
    <row r="901" s="1" customFormat="true" customHeight="true" spans="1:10">
      <c r="A901" s="4" t="str">
        <f t="shared" si="123"/>
        <v>019</v>
      </c>
      <c r="B901" s="4" t="s">
        <v>31</v>
      </c>
      <c r="C901" s="4" t="str">
        <f>"徐兰梅"</f>
        <v>徐兰梅</v>
      </c>
      <c r="D901" s="4" t="str">
        <f>"2021022623"</f>
        <v>2021022623</v>
      </c>
      <c r="E901" s="4" t="str">
        <f t="shared" ref="E901:E904" si="128">"26"</f>
        <v>26</v>
      </c>
      <c r="F901" s="4" t="str">
        <f>"23"</f>
        <v>23</v>
      </c>
      <c r="G901" s="4" t="s">
        <v>27</v>
      </c>
      <c r="H901" s="5">
        <v>53.07</v>
      </c>
      <c r="I901" s="4"/>
      <c r="J901" s="4">
        <f>SUMPRODUCT(--((A901=$A$3:$A$2785)*$H$3:$H$2785&gt;H901))+1</f>
        <v>21</v>
      </c>
    </row>
    <row r="902" s="1" customFormat="true" customHeight="true" spans="1:10">
      <c r="A902" s="4" t="str">
        <f t="shared" si="123"/>
        <v>019</v>
      </c>
      <c r="B902" s="4" t="s">
        <v>31</v>
      </c>
      <c r="C902" s="4" t="str">
        <f>"向方元"</f>
        <v>向方元</v>
      </c>
      <c r="D902" s="4" t="str">
        <f>"2021022627"</f>
        <v>2021022627</v>
      </c>
      <c r="E902" s="4" t="str">
        <f t="shared" si="128"/>
        <v>26</v>
      </c>
      <c r="F902" s="4" t="str">
        <f>"27"</f>
        <v>27</v>
      </c>
      <c r="G902" s="4" t="s">
        <v>27</v>
      </c>
      <c r="H902" s="5">
        <v>52.78</v>
      </c>
      <c r="I902" s="4"/>
      <c r="J902" s="4">
        <f>SUMPRODUCT(--((A902=$A$3:$A$2785)*$H$3:$H$2785&gt;H902))+1</f>
        <v>22</v>
      </c>
    </row>
    <row r="903" s="1" customFormat="true" customHeight="true" spans="1:10">
      <c r="A903" s="4" t="str">
        <f t="shared" si="123"/>
        <v>019</v>
      </c>
      <c r="B903" s="4" t="s">
        <v>31</v>
      </c>
      <c r="C903" s="4" t="str">
        <f>"彭旗"</f>
        <v>彭旗</v>
      </c>
      <c r="D903" s="4" t="str">
        <f>"2021022708"</f>
        <v>2021022708</v>
      </c>
      <c r="E903" s="4" t="str">
        <f>"27"</f>
        <v>27</v>
      </c>
      <c r="F903" s="4" t="str">
        <f>"08"</f>
        <v>08</v>
      </c>
      <c r="G903" s="4" t="s">
        <v>27</v>
      </c>
      <c r="H903" s="5">
        <v>52.68</v>
      </c>
      <c r="I903" s="4"/>
      <c r="J903" s="4">
        <f>SUMPRODUCT(--((A903=$A$3:$A$2785)*$H$3:$H$2785&gt;H903))+1</f>
        <v>23</v>
      </c>
    </row>
    <row r="904" s="1" customFormat="true" customHeight="true" spans="1:10">
      <c r="A904" s="4" t="str">
        <f t="shared" si="123"/>
        <v>019</v>
      </c>
      <c r="B904" s="4" t="s">
        <v>31</v>
      </c>
      <c r="C904" s="4" t="str">
        <f>"田玻云"</f>
        <v>田玻云</v>
      </c>
      <c r="D904" s="4" t="str">
        <f>"2021022624"</f>
        <v>2021022624</v>
      </c>
      <c r="E904" s="4" t="str">
        <f t="shared" si="128"/>
        <v>26</v>
      </c>
      <c r="F904" s="4" t="str">
        <f>"24"</f>
        <v>24</v>
      </c>
      <c r="G904" s="4" t="s">
        <v>27</v>
      </c>
      <c r="H904" s="5">
        <v>51.86</v>
      </c>
      <c r="I904" s="4"/>
      <c r="J904" s="4">
        <f>SUMPRODUCT(--((A904=$A$3:$A$2785)*$H$3:$H$2785&gt;H904))+1</f>
        <v>24</v>
      </c>
    </row>
    <row r="905" s="1" customFormat="true" customHeight="true" spans="1:10">
      <c r="A905" s="4" t="str">
        <f t="shared" si="123"/>
        <v>019</v>
      </c>
      <c r="B905" s="4" t="s">
        <v>31</v>
      </c>
      <c r="C905" s="4" t="str">
        <f>"唐梦瑶"</f>
        <v>唐梦瑶</v>
      </c>
      <c r="D905" s="4" t="str">
        <f>"2021022703"</f>
        <v>2021022703</v>
      </c>
      <c r="E905" s="4" t="str">
        <f>"27"</f>
        <v>27</v>
      </c>
      <c r="F905" s="4" t="str">
        <f>"03"</f>
        <v>03</v>
      </c>
      <c r="G905" s="4" t="s">
        <v>27</v>
      </c>
      <c r="H905" s="5">
        <v>51.6</v>
      </c>
      <c r="I905" s="4"/>
      <c r="J905" s="4">
        <f>SUMPRODUCT(--((A905=$A$3:$A$2785)*$H$3:$H$2785&gt;H905))+1</f>
        <v>25</v>
      </c>
    </row>
    <row r="906" s="1" customFormat="true" customHeight="true" spans="1:10">
      <c r="A906" s="4" t="str">
        <f t="shared" si="123"/>
        <v>019</v>
      </c>
      <c r="B906" s="4" t="s">
        <v>31</v>
      </c>
      <c r="C906" s="4" t="str">
        <f>"陈媛"</f>
        <v>陈媛</v>
      </c>
      <c r="D906" s="4" t="str">
        <f>"2021022629"</f>
        <v>2021022629</v>
      </c>
      <c r="E906" s="4" t="str">
        <f>"26"</f>
        <v>26</v>
      </c>
      <c r="F906" s="4" t="str">
        <f>"29"</f>
        <v>29</v>
      </c>
      <c r="G906" s="4" t="s">
        <v>27</v>
      </c>
      <c r="H906" s="5">
        <v>51.39</v>
      </c>
      <c r="I906" s="4"/>
      <c r="J906" s="4">
        <f>SUMPRODUCT(--((A906=$A$3:$A$2785)*$H$3:$H$2785&gt;H906))+1</f>
        <v>26</v>
      </c>
    </row>
    <row r="907" s="1" customFormat="true" customHeight="true" spans="1:10">
      <c r="A907" s="4" t="str">
        <f t="shared" si="123"/>
        <v>019</v>
      </c>
      <c r="B907" s="4" t="s">
        <v>31</v>
      </c>
      <c r="C907" s="4" t="str">
        <f>"强春霞"</f>
        <v>强春霞</v>
      </c>
      <c r="D907" s="4" t="str">
        <f>"2021022518"</f>
        <v>2021022518</v>
      </c>
      <c r="E907" s="4" t="str">
        <f t="shared" ref="E907:E909" si="129">"25"</f>
        <v>25</v>
      </c>
      <c r="F907" s="4" t="str">
        <f>"18"</f>
        <v>18</v>
      </c>
      <c r="G907" s="4" t="s">
        <v>27</v>
      </c>
      <c r="H907" s="5">
        <v>50.76</v>
      </c>
      <c r="I907" s="4"/>
      <c r="J907" s="4">
        <f>SUMPRODUCT(--((A907=$A$3:$A$2785)*$H$3:$H$2785&gt;H907))+1</f>
        <v>27</v>
      </c>
    </row>
    <row r="908" s="1" customFormat="true" customHeight="true" spans="1:10">
      <c r="A908" s="4" t="str">
        <f t="shared" si="123"/>
        <v>019</v>
      </c>
      <c r="B908" s="4" t="s">
        <v>31</v>
      </c>
      <c r="C908" s="4" t="str">
        <f>"阳岚"</f>
        <v>阳岚</v>
      </c>
      <c r="D908" s="4" t="str">
        <f>"2021022521"</f>
        <v>2021022521</v>
      </c>
      <c r="E908" s="4" t="str">
        <f t="shared" si="129"/>
        <v>25</v>
      </c>
      <c r="F908" s="4" t="str">
        <f>"21"</f>
        <v>21</v>
      </c>
      <c r="G908" s="4" t="s">
        <v>27</v>
      </c>
      <c r="H908" s="5">
        <v>50.59</v>
      </c>
      <c r="I908" s="4"/>
      <c r="J908" s="4">
        <f>SUMPRODUCT(--((A908=$A$3:$A$2785)*$H$3:$H$2785&gt;H908))+1</f>
        <v>28</v>
      </c>
    </row>
    <row r="909" s="1" customFormat="true" customHeight="true" spans="1:10">
      <c r="A909" s="4" t="str">
        <f t="shared" si="123"/>
        <v>019</v>
      </c>
      <c r="B909" s="4" t="s">
        <v>31</v>
      </c>
      <c r="C909" s="4" t="str">
        <f>"邓云丝"</f>
        <v>邓云丝</v>
      </c>
      <c r="D909" s="4" t="str">
        <f>"2021022519"</f>
        <v>2021022519</v>
      </c>
      <c r="E909" s="4" t="str">
        <f t="shared" si="129"/>
        <v>25</v>
      </c>
      <c r="F909" s="4" t="str">
        <f>"19"</f>
        <v>19</v>
      </c>
      <c r="G909" s="4" t="s">
        <v>27</v>
      </c>
      <c r="H909" s="5">
        <v>48.36</v>
      </c>
      <c r="I909" s="4"/>
      <c r="J909" s="4">
        <f>SUMPRODUCT(--((A909=$A$3:$A$2785)*$H$3:$H$2785&gt;H909))+1</f>
        <v>29</v>
      </c>
    </row>
    <row r="910" s="1" customFormat="true" customHeight="true" spans="1:10">
      <c r="A910" s="4" t="str">
        <f t="shared" si="123"/>
        <v>019</v>
      </c>
      <c r="B910" s="4" t="s">
        <v>31</v>
      </c>
      <c r="C910" s="4" t="str">
        <f>"田婷"</f>
        <v>田婷</v>
      </c>
      <c r="D910" s="4" t="str">
        <f>"2021022614"</f>
        <v>2021022614</v>
      </c>
      <c r="E910" s="4" t="str">
        <f t="shared" ref="E910:E915" si="130">"26"</f>
        <v>26</v>
      </c>
      <c r="F910" s="4" t="str">
        <f>"14"</f>
        <v>14</v>
      </c>
      <c r="G910" s="4" t="s">
        <v>27</v>
      </c>
      <c r="H910" s="5">
        <v>48.32</v>
      </c>
      <c r="I910" s="4"/>
      <c r="J910" s="4">
        <f>SUMPRODUCT(--((A910=$A$3:$A$2785)*$H$3:$H$2785&gt;H910))+1</f>
        <v>30</v>
      </c>
    </row>
    <row r="911" s="1" customFormat="true" customHeight="true" spans="1:10">
      <c r="A911" s="4" t="str">
        <f t="shared" si="123"/>
        <v>019</v>
      </c>
      <c r="B911" s="4" t="s">
        <v>31</v>
      </c>
      <c r="C911" s="4" t="str">
        <f>"滕丽慧"</f>
        <v>滕丽慧</v>
      </c>
      <c r="D911" s="4" t="str">
        <f>"2021022526"</f>
        <v>2021022526</v>
      </c>
      <c r="E911" s="4" t="str">
        <f t="shared" ref="E911:E921" si="131">"25"</f>
        <v>25</v>
      </c>
      <c r="F911" s="4" t="str">
        <f>"26"</f>
        <v>26</v>
      </c>
      <c r="G911" s="4" t="s">
        <v>27</v>
      </c>
      <c r="H911" s="5">
        <v>47.78</v>
      </c>
      <c r="I911" s="4"/>
      <c r="J911" s="4">
        <f>SUMPRODUCT(--((A911=$A$3:$A$2785)*$H$3:$H$2785&gt;H911))+1</f>
        <v>31</v>
      </c>
    </row>
    <row r="912" s="1" customFormat="true" customHeight="true" spans="1:10">
      <c r="A912" s="4" t="str">
        <f t="shared" si="123"/>
        <v>019</v>
      </c>
      <c r="B912" s="4" t="s">
        <v>31</v>
      </c>
      <c r="C912" s="4" t="str">
        <f>"张秀"</f>
        <v>张秀</v>
      </c>
      <c r="D912" s="4" t="str">
        <f>"2021022707"</f>
        <v>2021022707</v>
      </c>
      <c r="E912" s="4" t="str">
        <f>"27"</f>
        <v>27</v>
      </c>
      <c r="F912" s="4" t="str">
        <f>"07"</f>
        <v>07</v>
      </c>
      <c r="G912" s="4" t="s">
        <v>27</v>
      </c>
      <c r="H912" s="5">
        <v>47.16</v>
      </c>
      <c r="I912" s="4"/>
      <c r="J912" s="4">
        <f>SUMPRODUCT(--((A912=$A$3:$A$2785)*$H$3:$H$2785&gt;H912))+1</f>
        <v>32</v>
      </c>
    </row>
    <row r="913" s="1" customFormat="true" customHeight="true" spans="1:10">
      <c r="A913" s="4" t="str">
        <f t="shared" si="123"/>
        <v>019</v>
      </c>
      <c r="B913" s="4" t="s">
        <v>31</v>
      </c>
      <c r="C913" s="4" t="str">
        <f>"唐婕妤"</f>
        <v>唐婕妤</v>
      </c>
      <c r="D913" s="4" t="str">
        <f>"2021022604"</f>
        <v>2021022604</v>
      </c>
      <c r="E913" s="4" t="str">
        <f t="shared" si="130"/>
        <v>26</v>
      </c>
      <c r="F913" s="4" t="str">
        <f>"04"</f>
        <v>04</v>
      </c>
      <c r="G913" s="4" t="s">
        <v>27</v>
      </c>
      <c r="H913" s="5">
        <v>47.12</v>
      </c>
      <c r="I913" s="4"/>
      <c r="J913" s="4">
        <f>SUMPRODUCT(--((A913=$A$3:$A$2785)*$H$3:$H$2785&gt;H913))+1</f>
        <v>33</v>
      </c>
    </row>
    <row r="914" s="1" customFormat="true" customHeight="true" spans="1:10">
      <c r="A914" s="4" t="str">
        <f t="shared" si="123"/>
        <v>019</v>
      </c>
      <c r="B914" s="4" t="s">
        <v>31</v>
      </c>
      <c r="C914" s="4" t="str">
        <f>"蒲小璐"</f>
        <v>蒲小璐</v>
      </c>
      <c r="D914" s="4" t="str">
        <f>"2021022530"</f>
        <v>2021022530</v>
      </c>
      <c r="E914" s="4" t="str">
        <f t="shared" si="131"/>
        <v>25</v>
      </c>
      <c r="F914" s="4" t="str">
        <f>"30"</f>
        <v>30</v>
      </c>
      <c r="G914" s="4" t="s">
        <v>27</v>
      </c>
      <c r="H914" s="5">
        <v>46.01</v>
      </c>
      <c r="I914" s="4"/>
      <c r="J914" s="4">
        <f>SUMPRODUCT(--((A914=$A$3:$A$2785)*$H$3:$H$2785&gt;H914))+1</f>
        <v>34</v>
      </c>
    </row>
    <row r="915" s="1" customFormat="true" customHeight="true" spans="1:10">
      <c r="A915" s="4" t="str">
        <f t="shared" si="123"/>
        <v>019</v>
      </c>
      <c r="B915" s="4" t="s">
        <v>31</v>
      </c>
      <c r="C915" s="4" t="str">
        <f>"黄彦桦"</f>
        <v>黄彦桦</v>
      </c>
      <c r="D915" s="4" t="str">
        <f>"2021022603"</f>
        <v>2021022603</v>
      </c>
      <c r="E915" s="4" t="str">
        <f t="shared" si="130"/>
        <v>26</v>
      </c>
      <c r="F915" s="4" t="str">
        <f>"03"</f>
        <v>03</v>
      </c>
      <c r="G915" s="4" t="s">
        <v>27</v>
      </c>
      <c r="H915" s="5">
        <v>42.74</v>
      </c>
      <c r="I915" s="4"/>
      <c r="J915" s="4">
        <f>SUMPRODUCT(--((A915=$A$3:$A$2785)*$H$3:$H$2785&gt;H915))+1</f>
        <v>35</v>
      </c>
    </row>
    <row r="916" s="1" customFormat="true" customHeight="true" spans="1:10">
      <c r="A916" s="4" t="str">
        <f t="shared" si="123"/>
        <v>019</v>
      </c>
      <c r="B916" s="4" t="s">
        <v>31</v>
      </c>
      <c r="C916" s="4" t="str">
        <f>"张氏殊"</f>
        <v>张氏殊</v>
      </c>
      <c r="D916" s="4" t="str">
        <f>"2021022520"</f>
        <v>2021022520</v>
      </c>
      <c r="E916" s="4" t="str">
        <f t="shared" si="131"/>
        <v>25</v>
      </c>
      <c r="F916" s="4" t="str">
        <f>"20"</f>
        <v>20</v>
      </c>
      <c r="G916" s="4" t="s">
        <v>27</v>
      </c>
      <c r="H916" s="5">
        <v>0</v>
      </c>
      <c r="I916" s="6" t="s">
        <v>13</v>
      </c>
      <c r="J916" s="4">
        <f>SUMPRODUCT(--((A916=$A$3:$A$2785)*$H$3:$H$2785&gt;H916))+1</f>
        <v>36</v>
      </c>
    </row>
    <row r="917" s="1" customFormat="true" customHeight="true" spans="1:10">
      <c r="A917" s="4" t="str">
        <f t="shared" si="123"/>
        <v>019</v>
      </c>
      <c r="B917" s="4" t="s">
        <v>31</v>
      </c>
      <c r="C917" s="4" t="str">
        <f>"杨进"</f>
        <v>杨进</v>
      </c>
      <c r="D917" s="4" t="str">
        <f>"2021022523"</f>
        <v>2021022523</v>
      </c>
      <c r="E917" s="4" t="str">
        <f t="shared" si="131"/>
        <v>25</v>
      </c>
      <c r="F917" s="4" t="str">
        <f>"23"</f>
        <v>23</v>
      </c>
      <c r="G917" s="4" t="s">
        <v>27</v>
      </c>
      <c r="H917" s="5">
        <v>0</v>
      </c>
      <c r="I917" s="6" t="s">
        <v>13</v>
      </c>
      <c r="J917" s="4">
        <f>SUMPRODUCT(--((A917=$A$3:$A$2785)*$H$3:$H$2785&gt;H917))+1</f>
        <v>36</v>
      </c>
    </row>
    <row r="918" s="1" customFormat="true" customHeight="true" spans="1:10">
      <c r="A918" s="4" t="str">
        <f t="shared" si="123"/>
        <v>019</v>
      </c>
      <c r="B918" s="4" t="s">
        <v>31</v>
      </c>
      <c r="C918" s="4" t="str">
        <f>"杨秀平"</f>
        <v>杨秀平</v>
      </c>
      <c r="D918" s="4" t="str">
        <f>"2021022524"</f>
        <v>2021022524</v>
      </c>
      <c r="E918" s="4" t="str">
        <f t="shared" si="131"/>
        <v>25</v>
      </c>
      <c r="F918" s="4" t="str">
        <f>"24"</f>
        <v>24</v>
      </c>
      <c r="G918" s="4" t="s">
        <v>27</v>
      </c>
      <c r="H918" s="5">
        <v>0</v>
      </c>
      <c r="I918" s="6" t="s">
        <v>13</v>
      </c>
      <c r="J918" s="4">
        <f>SUMPRODUCT(--((A918=$A$3:$A$2785)*$H$3:$H$2785&gt;H918))+1</f>
        <v>36</v>
      </c>
    </row>
    <row r="919" s="1" customFormat="true" customHeight="true" spans="1:10">
      <c r="A919" s="4" t="str">
        <f t="shared" si="123"/>
        <v>019</v>
      </c>
      <c r="B919" s="4" t="s">
        <v>31</v>
      </c>
      <c r="C919" s="4" t="str">
        <f>"粟文坷"</f>
        <v>粟文坷</v>
      </c>
      <c r="D919" s="4" t="str">
        <f>"2021022525"</f>
        <v>2021022525</v>
      </c>
      <c r="E919" s="4" t="str">
        <f t="shared" si="131"/>
        <v>25</v>
      </c>
      <c r="F919" s="4" t="str">
        <f>"25"</f>
        <v>25</v>
      </c>
      <c r="G919" s="4" t="s">
        <v>27</v>
      </c>
      <c r="H919" s="5">
        <v>0</v>
      </c>
      <c r="I919" s="6" t="s">
        <v>13</v>
      </c>
      <c r="J919" s="4">
        <f>SUMPRODUCT(--((A919=$A$3:$A$2785)*$H$3:$H$2785&gt;H919))+1</f>
        <v>36</v>
      </c>
    </row>
    <row r="920" s="1" customFormat="true" customHeight="true" spans="1:10">
      <c r="A920" s="4" t="str">
        <f t="shared" si="123"/>
        <v>019</v>
      </c>
      <c r="B920" s="4" t="s">
        <v>31</v>
      </c>
      <c r="C920" s="4" t="str">
        <f>"胡睿"</f>
        <v>胡睿</v>
      </c>
      <c r="D920" s="4" t="str">
        <f>"2021022527"</f>
        <v>2021022527</v>
      </c>
      <c r="E920" s="4" t="str">
        <f t="shared" si="131"/>
        <v>25</v>
      </c>
      <c r="F920" s="4" t="str">
        <f>"27"</f>
        <v>27</v>
      </c>
      <c r="G920" s="4" t="s">
        <v>27</v>
      </c>
      <c r="H920" s="5">
        <v>0</v>
      </c>
      <c r="I920" s="6" t="s">
        <v>13</v>
      </c>
      <c r="J920" s="4">
        <f>SUMPRODUCT(--((A920=$A$3:$A$2785)*$H$3:$H$2785&gt;H920))+1</f>
        <v>36</v>
      </c>
    </row>
    <row r="921" s="1" customFormat="true" customHeight="true" spans="1:10">
      <c r="A921" s="4" t="str">
        <f t="shared" si="123"/>
        <v>019</v>
      </c>
      <c r="B921" s="4" t="s">
        <v>31</v>
      </c>
      <c r="C921" s="4" t="str">
        <f>"杨蔚"</f>
        <v>杨蔚</v>
      </c>
      <c r="D921" s="4" t="str">
        <f>"2021022529"</f>
        <v>2021022529</v>
      </c>
      <c r="E921" s="4" t="str">
        <f t="shared" si="131"/>
        <v>25</v>
      </c>
      <c r="F921" s="4" t="str">
        <f>"29"</f>
        <v>29</v>
      </c>
      <c r="G921" s="4" t="s">
        <v>27</v>
      </c>
      <c r="H921" s="5">
        <v>0</v>
      </c>
      <c r="I921" s="6" t="s">
        <v>13</v>
      </c>
      <c r="J921" s="4">
        <f>SUMPRODUCT(--((A921=$A$3:$A$2785)*$H$3:$H$2785&gt;H921))+1</f>
        <v>36</v>
      </c>
    </row>
    <row r="922" s="1" customFormat="true" customHeight="true" spans="1:10">
      <c r="A922" s="4" t="str">
        <f t="shared" si="123"/>
        <v>019</v>
      </c>
      <c r="B922" s="4" t="s">
        <v>31</v>
      </c>
      <c r="C922" s="4" t="str">
        <f>"易媚"</f>
        <v>易媚</v>
      </c>
      <c r="D922" s="4" t="str">
        <f>"2021022607"</f>
        <v>2021022607</v>
      </c>
      <c r="E922" s="4" t="str">
        <f t="shared" ref="E922:E931" si="132">"26"</f>
        <v>26</v>
      </c>
      <c r="F922" s="4" t="str">
        <f>"07"</f>
        <v>07</v>
      </c>
      <c r="G922" s="4" t="s">
        <v>27</v>
      </c>
      <c r="H922" s="5">
        <v>0</v>
      </c>
      <c r="I922" s="6" t="s">
        <v>13</v>
      </c>
      <c r="J922" s="4">
        <f>SUMPRODUCT(--((A922=$A$3:$A$2785)*$H$3:$H$2785&gt;H922))+1</f>
        <v>36</v>
      </c>
    </row>
    <row r="923" s="1" customFormat="true" customHeight="true" spans="1:10">
      <c r="A923" s="4" t="str">
        <f t="shared" si="123"/>
        <v>019</v>
      </c>
      <c r="B923" s="4" t="s">
        <v>31</v>
      </c>
      <c r="C923" s="4" t="str">
        <f>"彭小雨"</f>
        <v>彭小雨</v>
      </c>
      <c r="D923" s="4" t="str">
        <f>"2021022611"</f>
        <v>2021022611</v>
      </c>
      <c r="E923" s="4" t="str">
        <f t="shared" si="132"/>
        <v>26</v>
      </c>
      <c r="F923" s="4" t="str">
        <f>"11"</f>
        <v>11</v>
      </c>
      <c r="G923" s="4" t="s">
        <v>27</v>
      </c>
      <c r="H923" s="5">
        <v>0</v>
      </c>
      <c r="I923" s="6" t="s">
        <v>13</v>
      </c>
      <c r="J923" s="4">
        <f>SUMPRODUCT(--((A923=$A$3:$A$2785)*$H$3:$H$2785&gt;H923))+1</f>
        <v>36</v>
      </c>
    </row>
    <row r="924" s="1" customFormat="true" customHeight="true" spans="1:10">
      <c r="A924" s="4" t="str">
        <f t="shared" si="123"/>
        <v>019</v>
      </c>
      <c r="B924" s="4" t="s">
        <v>31</v>
      </c>
      <c r="C924" s="4" t="str">
        <f>"肖笑岚"</f>
        <v>肖笑岚</v>
      </c>
      <c r="D924" s="4" t="str">
        <f>"2021022612"</f>
        <v>2021022612</v>
      </c>
      <c r="E924" s="4" t="str">
        <f t="shared" si="132"/>
        <v>26</v>
      </c>
      <c r="F924" s="4" t="str">
        <f>"12"</f>
        <v>12</v>
      </c>
      <c r="G924" s="4" t="s">
        <v>27</v>
      </c>
      <c r="H924" s="5">
        <v>0</v>
      </c>
      <c r="I924" s="6" t="s">
        <v>13</v>
      </c>
      <c r="J924" s="4">
        <f>SUMPRODUCT(--((A924=$A$3:$A$2785)*$H$3:$H$2785&gt;H924))+1</f>
        <v>36</v>
      </c>
    </row>
    <row r="925" s="1" customFormat="true" customHeight="true" spans="1:10">
      <c r="A925" s="4" t="str">
        <f t="shared" si="123"/>
        <v>019</v>
      </c>
      <c r="B925" s="4" t="s">
        <v>31</v>
      </c>
      <c r="C925" s="4" t="str">
        <f>"李婧"</f>
        <v>李婧</v>
      </c>
      <c r="D925" s="4" t="str">
        <f>"2021022613"</f>
        <v>2021022613</v>
      </c>
      <c r="E925" s="4" t="str">
        <f t="shared" si="132"/>
        <v>26</v>
      </c>
      <c r="F925" s="4" t="str">
        <f>"13"</f>
        <v>13</v>
      </c>
      <c r="G925" s="4" t="s">
        <v>27</v>
      </c>
      <c r="H925" s="5">
        <v>0</v>
      </c>
      <c r="I925" s="6" t="s">
        <v>13</v>
      </c>
      <c r="J925" s="4">
        <f>SUMPRODUCT(--((A925=$A$3:$A$2785)*$H$3:$H$2785&gt;H925))+1</f>
        <v>36</v>
      </c>
    </row>
    <row r="926" s="1" customFormat="true" customHeight="true" spans="1:10">
      <c r="A926" s="4" t="str">
        <f t="shared" si="123"/>
        <v>019</v>
      </c>
      <c r="B926" s="4" t="s">
        <v>31</v>
      </c>
      <c r="C926" s="4" t="str">
        <f>"李梦"</f>
        <v>李梦</v>
      </c>
      <c r="D926" s="4" t="str">
        <f>"2021022617"</f>
        <v>2021022617</v>
      </c>
      <c r="E926" s="4" t="str">
        <f t="shared" si="132"/>
        <v>26</v>
      </c>
      <c r="F926" s="4" t="str">
        <f>"17"</f>
        <v>17</v>
      </c>
      <c r="G926" s="4" t="s">
        <v>27</v>
      </c>
      <c r="H926" s="5">
        <v>0</v>
      </c>
      <c r="I926" s="6" t="s">
        <v>13</v>
      </c>
      <c r="J926" s="4">
        <f>SUMPRODUCT(--((A926=$A$3:$A$2785)*$H$3:$H$2785&gt;H926))+1</f>
        <v>36</v>
      </c>
    </row>
    <row r="927" s="1" customFormat="true" customHeight="true" spans="1:10">
      <c r="A927" s="4" t="str">
        <f t="shared" si="123"/>
        <v>019</v>
      </c>
      <c r="B927" s="4" t="s">
        <v>31</v>
      </c>
      <c r="C927" s="4" t="str">
        <f>"贺露芝"</f>
        <v>贺露芝</v>
      </c>
      <c r="D927" s="4" t="str">
        <f>"2021022618"</f>
        <v>2021022618</v>
      </c>
      <c r="E927" s="4" t="str">
        <f t="shared" si="132"/>
        <v>26</v>
      </c>
      <c r="F927" s="4" t="str">
        <f>"18"</f>
        <v>18</v>
      </c>
      <c r="G927" s="4" t="s">
        <v>27</v>
      </c>
      <c r="H927" s="5">
        <v>0</v>
      </c>
      <c r="I927" s="6" t="s">
        <v>13</v>
      </c>
      <c r="J927" s="4">
        <f>SUMPRODUCT(--((A927=$A$3:$A$2785)*$H$3:$H$2785&gt;H927))+1</f>
        <v>36</v>
      </c>
    </row>
    <row r="928" s="1" customFormat="true" customHeight="true" spans="1:10">
      <c r="A928" s="4" t="str">
        <f t="shared" si="123"/>
        <v>019</v>
      </c>
      <c r="B928" s="4" t="s">
        <v>31</v>
      </c>
      <c r="C928" s="4" t="str">
        <f>"刘玲"</f>
        <v>刘玲</v>
      </c>
      <c r="D928" s="4" t="str">
        <f>"2021022619"</f>
        <v>2021022619</v>
      </c>
      <c r="E928" s="4" t="str">
        <f t="shared" si="132"/>
        <v>26</v>
      </c>
      <c r="F928" s="4" t="str">
        <f>"19"</f>
        <v>19</v>
      </c>
      <c r="G928" s="4" t="s">
        <v>27</v>
      </c>
      <c r="H928" s="5">
        <v>0</v>
      </c>
      <c r="I928" s="6" t="s">
        <v>13</v>
      </c>
      <c r="J928" s="4">
        <f>SUMPRODUCT(--((A928=$A$3:$A$2785)*$H$3:$H$2785&gt;H928))+1</f>
        <v>36</v>
      </c>
    </row>
    <row r="929" s="1" customFormat="true" customHeight="true" spans="1:10">
      <c r="A929" s="4" t="str">
        <f t="shared" si="123"/>
        <v>019</v>
      </c>
      <c r="B929" s="4" t="s">
        <v>31</v>
      </c>
      <c r="C929" s="4" t="str">
        <f>"胡彦"</f>
        <v>胡彦</v>
      </c>
      <c r="D929" s="4" t="str">
        <f>"2021022620"</f>
        <v>2021022620</v>
      </c>
      <c r="E929" s="4" t="str">
        <f t="shared" si="132"/>
        <v>26</v>
      </c>
      <c r="F929" s="4" t="str">
        <f>"20"</f>
        <v>20</v>
      </c>
      <c r="G929" s="4" t="s">
        <v>27</v>
      </c>
      <c r="H929" s="5">
        <v>0</v>
      </c>
      <c r="I929" s="6" t="s">
        <v>13</v>
      </c>
      <c r="J929" s="4">
        <f>SUMPRODUCT(--((A929=$A$3:$A$2785)*$H$3:$H$2785&gt;H929))+1</f>
        <v>36</v>
      </c>
    </row>
    <row r="930" s="1" customFormat="true" customHeight="true" spans="1:10">
      <c r="A930" s="4" t="str">
        <f t="shared" si="123"/>
        <v>019</v>
      </c>
      <c r="B930" s="4" t="s">
        <v>31</v>
      </c>
      <c r="C930" s="4" t="str">
        <f>"满园园"</f>
        <v>满园园</v>
      </c>
      <c r="D930" s="4" t="str">
        <f>"2021022621"</f>
        <v>2021022621</v>
      </c>
      <c r="E930" s="4" t="str">
        <f t="shared" si="132"/>
        <v>26</v>
      </c>
      <c r="F930" s="4" t="str">
        <f>"21"</f>
        <v>21</v>
      </c>
      <c r="G930" s="4" t="s">
        <v>27</v>
      </c>
      <c r="H930" s="5">
        <v>0</v>
      </c>
      <c r="I930" s="6" t="s">
        <v>13</v>
      </c>
      <c r="J930" s="4">
        <f>SUMPRODUCT(--((A930=$A$3:$A$2785)*$H$3:$H$2785&gt;H930))+1</f>
        <v>36</v>
      </c>
    </row>
    <row r="931" s="1" customFormat="true" customHeight="true" spans="1:10">
      <c r="A931" s="4" t="str">
        <f t="shared" si="123"/>
        <v>019</v>
      </c>
      <c r="B931" s="4" t="s">
        <v>31</v>
      </c>
      <c r="C931" s="4" t="str">
        <f>"黄小娥"</f>
        <v>黄小娥</v>
      </c>
      <c r="D931" s="4" t="str">
        <f>"2021022622"</f>
        <v>2021022622</v>
      </c>
      <c r="E931" s="4" t="str">
        <f t="shared" si="132"/>
        <v>26</v>
      </c>
      <c r="F931" s="4" t="str">
        <f>"22"</f>
        <v>22</v>
      </c>
      <c r="G931" s="4" t="s">
        <v>27</v>
      </c>
      <c r="H931" s="5">
        <v>0</v>
      </c>
      <c r="I931" s="6" t="s">
        <v>13</v>
      </c>
      <c r="J931" s="4">
        <f>SUMPRODUCT(--((A931=$A$3:$A$2785)*$H$3:$H$2785&gt;H931))+1</f>
        <v>36</v>
      </c>
    </row>
    <row r="932" s="1" customFormat="true" customHeight="true" spans="1:10">
      <c r="A932" s="4" t="str">
        <f t="shared" si="123"/>
        <v>019</v>
      </c>
      <c r="B932" s="4" t="s">
        <v>31</v>
      </c>
      <c r="C932" s="4" t="str">
        <f>"明杏子"</f>
        <v>明杏子</v>
      </c>
      <c r="D932" s="4" t="str">
        <f>"2021022706"</f>
        <v>2021022706</v>
      </c>
      <c r="E932" s="4" t="str">
        <f>"27"</f>
        <v>27</v>
      </c>
      <c r="F932" s="4" t="str">
        <f>"06"</f>
        <v>06</v>
      </c>
      <c r="G932" s="4" t="s">
        <v>27</v>
      </c>
      <c r="H932" s="5">
        <v>0</v>
      </c>
      <c r="I932" s="6" t="s">
        <v>13</v>
      </c>
      <c r="J932" s="4">
        <f>SUMPRODUCT(--((A932=$A$3:$A$2785)*$H$3:$H$2785&gt;H932))+1</f>
        <v>36</v>
      </c>
    </row>
    <row r="933" s="1" customFormat="true" customHeight="true" spans="1:10">
      <c r="A933" s="4" t="str">
        <f t="shared" ref="A933:A996" si="133">"020"</f>
        <v>020</v>
      </c>
      <c r="B933" s="4" t="s">
        <v>32</v>
      </c>
      <c r="C933" s="4" t="str">
        <f>"罗丹"</f>
        <v>罗丹</v>
      </c>
      <c r="D933" s="4" t="str">
        <f>"2021023926"</f>
        <v>2021023926</v>
      </c>
      <c r="E933" s="4" t="str">
        <f>"39"</f>
        <v>39</v>
      </c>
      <c r="F933" s="4" t="str">
        <f>"26"</f>
        <v>26</v>
      </c>
      <c r="G933" s="4" t="s">
        <v>27</v>
      </c>
      <c r="H933" s="5">
        <v>73.96</v>
      </c>
      <c r="I933" s="4"/>
      <c r="J933" s="4">
        <f>SUMPRODUCT(--((A933=$A$3:$A$2785)*$H$3:$H$2785&gt;H933))+1</f>
        <v>1</v>
      </c>
    </row>
    <row r="934" s="1" customFormat="true" customHeight="true" spans="1:10">
      <c r="A934" s="4" t="str">
        <f t="shared" si="133"/>
        <v>020</v>
      </c>
      <c r="B934" s="4" t="s">
        <v>32</v>
      </c>
      <c r="C934" s="4" t="str">
        <f>"李光珍"</f>
        <v>李光珍</v>
      </c>
      <c r="D934" s="4" t="str">
        <f>"2021023716"</f>
        <v>2021023716</v>
      </c>
      <c r="E934" s="4" t="str">
        <f t="shared" ref="E934:E939" si="134">"37"</f>
        <v>37</v>
      </c>
      <c r="F934" s="4" t="str">
        <f>"16"</f>
        <v>16</v>
      </c>
      <c r="G934" s="4" t="s">
        <v>27</v>
      </c>
      <c r="H934" s="5">
        <v>69.73</v>
      </c>
      <c r="I934" s="4"/>
      <c r="J934" s="4">
        <f>SUMPRODUCT(--((A934=$A$3:$A$2785)*$H$3:$H$2785&gt;H934))+1</f>
        <v>2</v>
      </c>
    </row>
    <row r="935" s="1" customFormat="true" customHeight="true" spans="1:10">
      <c r="A935" s="4" t="str">
        <f t="shared" si="133"/>
        <v>020</v>
      </c>
      <c r="B935" s="4" t="s">
        <v>32</v>
      </c>
      <c r="C935" s="4" t="str">
        <f>"舒小亚"</f>
        <v>舒小亚</v>
      </c>
      <c r="D935" s="4" t="str">
        <f>"2021023624"</f>
        <v>2021023624</v>
      </c>
      <c r="E935" s="4" t="str">
        <f t="shared" ref="E935:E938" si="135">"36"</f>
        <v>36</v>
      </c>
      <c r="F935" s="4" t="str">
        <f>"24"</f>
        <v>24</v>
      </c>
      <c r="G935" s="4" t="s">
        <v>27</v>
      </c>
      <c r="H935" s="5">
        <v>69.45</v>
      </c>
      <c r="I935" s="4"/>
      <c r="J935" s="4">
        <f>SUMPRODUCT(--((A935=$A$3:$A$2785)*$H$3:$H$2785&gt;H935))+1</f>
        <v>3</v>
      </c>
    </row>
    <row r="936" s="1" customFormat="true" customHeight="true" spans="1:10">
      <c r="A936" s="4" t="str">
        <f t="shared" si="133"/>
        <v>020</v>
      </c>
      <c r="B936" s="4" t="s">
        <v>32</v>
      </c>
      <c r="C936" s="4" t="str">
        <f>"龙樟灵"</f>
        <v>龙樟灵</v>
      </c>
      <c r="D936" s="4" t="str">
        <f>"2021023610"</f>
        <v>2021023610</v>
      </c>
      <c r="E936" s="4" t="str">
        <f t="shared" si="135"/>
        <v>36</v>
      </c>
      <c r="F936" s="4" t="str">
        <f>"10"</f>
        <v>10</v>
      </c>
      <c r="G936" s="4" t="s">
        <v>27</v>
      </c>
      <c r="H936" s="5">
        <v>69.19</v>
      </c>
      <c r="I936" s="4"/>
      <c r="J936" s="4">
        <f>SUMPRODUCT(--((A936=$A$3:$A$2785)*$H$3:$H$2785&gt;H936))+1</f>
        <v>4</v>
      </c>
    </row>
    <row r="937" s="1" customFormat="true" customHeight="true" spans="1:10">
      <c r="A937" s="4" t="str">
        <f t="shared" si="133"/>
        <v>020</v>
      </c>
      <c r="B937" s="4" t="s">
        <v>32</v>
      </c>
      <c r="C937" s="4" t="str">
        <f>"王丽香"</f>
        <v>王丽香</v>
      </c>
      <c r="D937" s="4" t="str">
        <f>"2021023710"</f>
        <v>2021023710</v>
      </c>
      <c r="E937" s="4" t="str">
        <f t="shared" si="134"/>
        <v>37</v>
      </c>
      <c r="F937" s="4" t="str">
        <f>"10"</f>
        <v>10</v>
      </c>
      <c r="G937" s="4" t="s">
        <v>27</v>
      </c>
      <c r="H937" s="5">
        <v>68.94</v>
      </c>
      <c r="I937" s="4"/>
      <c r="J937" s="4">
        <f>SUMPRODUCT(--((A937=$A$3:$A$2785)*$H$3:$H$2785&gt;H937))+1</f>
        <v>5</v>
      </c>
    </row>
    <row r="938" s="1" customFormat="true" customHeight="true" spans="1:10">
      <c r="A938" s="4" t="str">
        <f t="shared" si="133"/>
        <v>020</v>
      </c>
      <c r="B938" s="4" t="s">
        <v>32</v>
      </c>
      <c r="C938" s="4" t="str">
        <f>"何美元"</f>
        <v>何美元</v>
      </c>
      <c r="D938" s="4" t="str">
        <f>"2021023603"</f>
        <v>2021023603</v>
      </c>
      <c r="E938" s="4" t="str">
        <f t="shared" si="135"/>
        <v>36</v>
      </c>
      <c r="F938" s="4" t="str">
        <f>"03"</f>
        <v>03</v>
      </c>
      <c r="G938" s="4" t="s">
        <v>27</v>
      </c>
      <c r="H938" s="5">
        <v>68.03</v>
      </c>
      <c r="I938" s="4"/>
      <c r="J938" s="4">
        <f>SUMPRODUCT(--((A938=$A$3:$A$2785)*$H$3:$H$2785&gt;H938))+1</f>
        <v>6</v>
      </c>
    </row>
    <row r="939" s="1" customFormat="true" customHeight="true" spans="1:10">
      <c r="A939" s="4" t="str">
        <f t="shared" si="133"/>
        <v>020</v>
      </c>
      <c r="B939" s="4" t="s">
        <v>32</v>
      </c>
      <c r="C939" s="4" t="str">
        <f>"彭子政"</f>
        <v>彭子政</v>
      </c>
      <c r="D939" s="4" t="str">
        <f>"2021023707"</f>
        <v>2021023707</v>
      </c>
      <c r="E939" s="4" t="str">
        <f t="shared" si="134"/>
        <v>37</v>
      </c>
      <c r="F939" s="4" t="str">
        <f>"07"</f>
        <v>07</v>
      </c>
      <c r="G939" s="4" t="s">
        <v>27</v>
      </c>
      <c r="H939" s="5">
        <v>66.98</v>
      </c>
      <c r="I939" s="4"/>
      <c r="J939" s="4">
        <f>SUMPRODUCT(--((A939=$A$3:$A$2785)*$H$3:$H$2785&gt;H939))+1</f>
        <v>7</v>
      </c>
    </row>
    <row r="940" s="1" customFormat="true" customHeight="true" spans="1:10">
      <c r="A940" s="4" t="str">
        <f t="shared" si="133"/>
        <v>020</v>
      </c>
      <c r="B940" s="4" t="s">
        <v>32</v>
      </c>
      <c r="C940" s="4" t="str">
        <f>"李美橙"</f>
        <v>李美橙</v>
      </c>
      <c r="D940" s="4" t="str">
        <f>"2021023914"</f>
        <v>2021023914</v>
      </c>
      <c r="E940" s="4" t="str">
        <f>"39"</f>
        <v>39</v>
      </c>
      <c r="F940" s="4" t="str">
        <f>"14"</f>
        <v>14</v>
      </c>
      <c r="G940" s="4" t="s">
        <v>27</v>
      </c>
      <c r="H940" s="5">
        <v>66.15</v>
      </c>
      <c r="I940" s="4"/>
      <c r="J940" s="4">
        <f>SUMPRODUCT(--((A940=$A$3:$A$2785)*$H$3:$H$2785&gt;H940))+1</f>
        <v>8</v>
      </c>
    </row>
    <row r="941" s="1" customFormat="true" customHeight="true" spans="1:10">
      <c r="A941" s="4" t="str">
        <f t="shared" si="133"/>
        <v>020</v>
      </c>
      <c r="B941" s="4" t="s">
        <v>32</v>
      </c>
      <c r="C941" s="4" t="str">
        <f>"米海琼"</f>
        <v>米海琼</v>
      </c>
      <c r="D941" s="4" t="str">
        <f>"2021023719"</f>
        <v>2021023719</v>
      </c>
      <c r="E941" s="4" t="str">
        <f>"37"</f>
        <v>37</v>
      </c>
      <c r="F941" s="4" t="str">
        <f>"19"</f>
        <v>19</v>
      </c>
      <c r="G941" s="4" t="s">
        <v>27</v>
      </c>
      <c r="H941" s="5">
        <v>65.64</v>
      </c>
      <c r="I941" s="4"/>
      <c r="J941" s="4">
        <f>SUMPRODUCT(--((A941=$A$3:$A$2785)*$H$3:$H$2785&gt;H941))+1</f>
        <v>9</v>
      </c>
    </row>
    <row r="942" s="1" customFormat="true" customHeight="true" spans="1:10">
      <c r="A942" s="4" t="str">
        <f t="shared" si="133"/>
        <v>020</v>
      </c>
      <c r="B942" s="4" t="s">
        <v>32</v>
      </c>
      <c r="C942" s="4" t="str">
        <f>"全星颖"</f>
        <v>全星颖</v>
      </c>
      <c r="D942" s="4" t="str">
        <f>"2021023911"</f>
        <v>2021023911</v>
      </c>
      <c r="E942" s="4" t="str">
        <f>"39"</f>
        <v>39</v>
      </c>
      <c r="F942" s="4" t="str">
        <f>"11"</f>
        <v>11</v>
      </c>
      <c r="G942" s="4" t="s">
        <v>27</v>
      </c>
      <c r="H942" s="5">
        <v>65.22</v>
      </c>
      <c r="I942" s="4"/>
      <c r="J942" s="4">
        <f>SUMPRODUCT(--((A942=$A$3:$A$2785)*$H$3:$H$2785&gt;H942))+1</f>
        <v>10</v>
      </c>
    </row>
    <row r="943" s="1" customFormat="true" customHeight="true" spans="1:10">
      <c r="A943" s="4" t="str">
        <f t="shared" si="133"/>
        <v>020</v>
      </c>
      <c r="B943" s="4" t="s">
        <v>32</v>
      </c>
      <c r="C943" s="4" t="str">
        <f>"刘娜"</f>
        <v>刘娜</v>
      </c>
      <c r="D943" s="4" t="str">
        <f>"2021023623"</f>
        <v>2021023623</v>
      </c>
      <c r="E943" s="4" t="str">
        <f>"36"</f>
        <v>36</v>
      </c>
      <c r="F943" s="4" t="str">
        <f>"23"</f>
        <v>23</v>
      </c>
      <c r="G943" s="4" t="s">
        <v>27</v>
      </c>
      <c r="H943" s="5">
        <v>64.92</v>
      </c>
      <c r="I943" s="4"/>
      <c r="J943" s="4">
        <f>SUMPRODUCT(--((A943=$A$3:$A$2785)*$H$3:$H$2785&gt;H943))+1</f>
        <v>11</v>
      </c>
    </row>
    <row r="944" s="1" customFormat="true" customHeight="true" spans="1:10">
      <c r="A944" s="4" t="str">
        <f t="shared" si="133"/>
        <v>020</v>
      </c>
      <c r="B944" s="4" t="s">
        <v>32</v>
      </c>
      <c r="C944" s="4" t="str">
        <f>"滕阳丹"</f>
        <v>滕阳丹</v>
      </c>
      <c r="D944" s="4" t="str">
        <f>"2021023814"</f>
        <v>2021023814</v>
      </c>
      <c r="E944" s="4" t="str">
        <f>"38"</f>
        <v>38</v>
      </c>
      <c r="F944" s="4" t="str">
        <f>"14"</f>
        <v>14</v>
      </c>
      <c r="G944" s="4" t="s">
        <v>27</v>
      </c>
      <c r="H944" s="5">
        <v>64.78</v>
      </c>
      <c r="I944" s="4"/>
      <c r="J944" s="4">
        <f>SUMPRODUCT(--((A944=$A$3:$A$2785)*$H$3:$H$2785&gt;H944))+1</f>
        <v>12</v>
      </c>
    </row>
    <row r="945" s="1" customFormat="true" customHeight="true" spans="1:10">
      <c r="A945" s="4" t="str">
        <f t="shared" si="133"/>
        <v>020</v>
      </c>
      <c r="B945" s="4" t="s">
        <v>32</v>
      </c>
      <c r="C945" s="4" t="str">
        <f>"陈瑶"</f>
        <v>陈瑶</v>
      </c>
      <c r="D945" s="4" t="str">
        <f>"2021023702"</f>
        <v>2021023702</v>
      </c>
      <c r="E945" s="4" t="str">
        <f>"37"</f>
        <v>37</v>
      </c>
      <c r="F945" s="4" t="str">
        <f>"02"</f>
        <v>02</v>
      </c>
      <c r="G945" s="4" t="s">
        <v>27</v>
      </c>
      <c r="H945" s="5">
        <v>64.07</v>
      </c>
      <c r="I945" s="4"/>
      <c r="J945" s="4">
        <f>SUMPRODUCT(--((A945=$A$3:$A$2785)*$H$3:$H$2785&gt;H945))+1</f>
        <v>13</v>
      </c>
    </row>
    <row r="946" s="1" customFormat="true" customHeight="true" spans="1:10">
      <c r="A946" s="4" t="str">
        <f t="shared" si="133"/>
        <v>020</v>
      </c>
      <c r="B946" s="4" t="s">
        <v>32</v>
      </c>
      <c r="C946" s="4" t="str">
        <f>"姚张玥"</f>
        <v>姚张玥</v>
      </c>
      <c r="D946" s="4" t="str">
        <f>"2021023916"</f>
        <v>2021023916</v>
      </c>
      <c r="E946" s="4" t="str">
        <f>"39"</f>
        <v>39</v>
      </c>
      <c r="F946" s="4" t="str">
        <f>"16"</f>
        <v>16</v>
      </c>
      <c r="G946" s="4" t="s">
        <v>27</v>
      </c>
      <c r="H946" s="5">
        <v>63.63</v>
      </c>
      <c r="I946" s="4"/>
      <c r="J946" s="4">
        <f>SUMPRODUCT(--((A946=$A$3:$A$2785)*$H$3:$H$2785&gt;H946))+1</f>
        <v>14</v>
      </c>
    </row>
    <row r="947" s="1" customFormat="true" customHeight="true" spans="1:10">
      <c r="A947" s="4" t="str">
        <f t="shared" si="133"/>
        <v>020</v>
      </c>
      <c r="B947" s="4" t="s">
        <v>32</v>
      </c>
      <c r="C947" s="4" t="str">
        <f>"曾松娥"</f>
        <v>曾松娥</v>
      </c>
      <c r="D947" s="4" t="str">
        <f>"2021023515"</f>
        <v>2021023515</v>
      </c>
      <c r="E947" s="4" t="str">
        <f>"35"</f>
        <v>35</v>
      </c>
      <c r="F947" s="4" t="str">
        <f>"15"</f>
        <v>15</v>
      </c>
      <c r="G947" s="4" t="s">
        <v>27</v>
      </c>
      <c r="H947" s="5">
        <v>63.36</v>
      </c>
      <c r="I947" s="4"/>
      <c r="J947" s="4">
        <f>SUMPRODUCT(--((A947=$A$3:$A$2785)*$H$3:$H$2785&gt;H947))+1</f>
        <v>15</v>
      </c>
    </row>
    <row r="948" s="1" customFormat="true" customHeight="true" spans="1:10">
      <c r="A948" s="4" t="str">
        <f t="shared" si="133"/>
        <v>020</v>
      </c>
      <c r="B948" s="4" t="s">
        <v>32</v>
      </c>
      <c r="C948" s="4" t="str">
        <f>"陈思思"</f>
        <v>陈思思</v>
      </c>
      <c r="D948" s="4" t="str">
        <f>"2021023625"</f>
        <v>2021023625</v>
      </c>
      <c r="E948" s="4" t="str">
        <f>"36"</f>
        <v>36</v>
      </c>
      <c r="F948" s="4" t="str">
        <f>"25"</f>
        <v>25</v>
      </c>
      <c r="G948" s="4" t="s">
        <v>27</v>
      </c>
      <c r="H948" s="5">
        <v>63.36</v>
      </c>
      <c r="I948" s="4"/>
      <c r="J948" s="4">
        <f>SUMPRODUCT(--((A948=$A$3:$A$2785)*$H$3:$H$2785&gt;H948))+1</f>
        <v>15</v>
      </c>
    </row>
    <row r="949" s="1" customFormat="true" customHeight="true" spans="1:10">
      <c r="A949" s="4" t="str">
        <f t="shared" si="133"/>
        <v>020</v>
      </c>
      <c r="B949" s="4" t="s">
        <v>32</v>
      </c>
      <c r="C949" s="4" t="str">
        <f>"肖苏苗"</f>
        <v>肖苏苗</v>
      </c>
      <c r="D949" s="4" t="str">
        <f>"2021023816"</f>
        <v>2021023816</v>
      </c>
      <c r="E949" s="4" t="str">
        <f>"38"</f>
        <v>38</v>
      </c>
      <c r="F949" s="4" t="str">
        <f>"16"</f>
        <v>16</v>
      </c>
      <c r="G949" s="4" t="s">
        <v>27</v>
      </c>
      <c r="H949" s="5">
        <v>63.23</v>
      </c>
      <c r="I949" s="4"/>
      <c r="J949" s="4">
        <f>SUMPRODUCT(--((A949=$A$3:$A$2785)*$H$3:$H$2785&gt;H949))+1</f>
        <v>17</v>
      </c>
    </row>
    <row r="950" s="1" customFormat="true" customHeight="true" spans="1:10">
      <c r="A950" s="4" t="str">
        <f t="shared" si="133"/>
        <v>020</v>
      </c>
      <c r="B950" s="4" t="s">
        <v>32</v>
      </c>
      <c r="C950" s="4" t="str">
        <f>"戴桂香"</f>
        <v>戴桂香</v>
      </c>
      <c r="D950" s="4" t="str">
        <f>"2021023723"</f>
        <v>2021023723</v>
      </c>
      <c r="E950" s="4" t="str">
        <f t="shared" ref="E950:E953" si="136">"37"</f>
        <v>37</v>
      </c>
      <c r="F950" s="4" t="str">
        <f>"23"</f>
        <v>23</v>
      </c>
      <c r="G950" s="4" t="s">
        <v>27</v>
      </c>
      <c r="H950" s="5">
        <v>62.67</v>
      </c>
      <c r="I950" s="4"/>
      <c r="J950" s="4">
        <f>SUMPRODUCT(--((A950=$A$3:$A$2785)*$H$3:$H$2785&gt;H950))+1</f>
        <v>18</v>
      </c>
    </row>
    <row r="951" s="1" customFormat="true" customHeight="true" spans="1:10">
      <c r="A951" s="4" t="str">
        <f t="shared" si="133"/>
        <v>020</v>
      </c>
      <c r="B951" s="4" t="s">
        <v>32</v>
      </c>
      <c r="C951" s="4" t="str">
        <f>"吴练芳"</f>
        <v>吴练芳</v>
      </c>
      <c r="D951" s="4" t="str">
        <f>"2021023620"</f>
        <v>2021023620</v>
      </c>
      <c r="E951" s="4" t="str">
        <f>"36"</f>
        <v>36</v>
      </c>
      <c r="F951" s="4" t="str">
        <f>"20"</f>
        <v>20</v>
      </c>
      <c r="G951" s="4" t="s">
        <v>27</v>
      </c>
      <c r="H951" s="5">
        <v>62.59</v>
      </c>
      <c r="I951" s="4"/>
      <c r="J951" s="4">
        <f>SUMPRODUCT(--((A951=$A$3:$A$2785)*$H$3:$H$2785&gt;H951))+1</f>
        <v>19</v>
      </c>
    </row>
    <row r="952" s="1" customFormat="true" customHeight="true" spans="1:10">
      <c r="A952" s="4" t="str">
        <f t="shared" si="133"/>
        <v>020</v>
      </c>
      <c r="B952" s="4" t="s">
        <v>32</v>
      </c>
      <c r="C952" s="4" t="str">
        <f>"袁艳红"</f>
        <v>袁艳红</v>
      </c>
      <c r="D952" s="4" t="str">
        <f>"2021023712"</f>
        <v>2021023712</v>
      </c>
      <c r="E952" s="4" t="str">
        <f t="shared" si="136"/>
        <v>37</v>
      </c>
      <c r="F952" s="4" t="str">
        <f>"12"</f>
        <v>12</v>
      </c>
      <c r="G952" s="4" t="s">
        <v>27</v>
      </c>
      <c r="H952" s="5">
        <v>62.4</v>
      </c>
      <c r="I952" s="4"/>
      <c r="J952" s="4">
        <f>SUMPRODUCT(--((A952=$A$3:$A$2785)*$H$3:$H$2785&gt;H952))+1</f>
        <v>20</v>
      </c>
    </row>
    <row r="953" s="1" customFormat="true" customHeight="true" spans="1:10">
      <c r="A953" s="4" t="str">
        <f t="shared" si="133"/>
        <v>020</v>
      </c>
      <c r="B953" s="4" t="s">
        <v>32</v>
      </c>
      <c r="C953" s="4" t="str">
        <f>"杨林鑫"</f>
        <v>杨林鑫</v>
      </c>
      <c r="D953" s="4" t="str">
        <f>"2021023714"</f>
        <v>2021023714</v>
      </c>
      <c r="E953" s="4" t="str">
        <f t="shared" si="136"/>
        <v>37</v>
      </c>
      <c r="F953" s="4" t="str">
        <f>"14"</f>
        <v>14</v>
      </c>
      <c r="G953" s="4" t="s">
        <v>27</v>
      </c>
      <c r="H953" s="5">
        <v>61.78</v>
      </c>
      <c r="I953" s="4"/>
      <c r="J953" s="4">
        <f>SUMPRODUCT(--((A953=$A$3:$A$2785)*$H$3:$H$2785&gt;H953))+1</f>
        <v>21</v>
      </c>
    </row>
    <row r="954" s="1" customFormat="true" customHeight="true" spans="1:10">
      <c r="A954" s="4" t="str">
        <f t="shared" si="133"/>
        <v>020</v>
      </c>
      <c r="B954" s="4" t="s">
        <v>32</v>
      </c>
      <c r="C954" s="4" t="str">
        <f>"丁丽萍"</f>
        <v>丁丽萍</v>
      </c>
      <c r="D954" s="4" t="str">
        <f>"2021023823"</f>
        <v>2021023823</v>
      </c>
      <c r="E954" s="4" t="str">
        <f>"38"</f>
        <v>38</v>
      </c>
      <c r="F954" s="4" t="str">
        <f>"23"</f>
        <v>23</v>
      </c>
      <c r="G954" s="4" t="s">
        <v>27</v>
      </c>
      <c r="H954" s="5">
        <v>61.77</v>
      </c>
      <c r="I954" s="4"/>
      <c r="J954" s="4">
        <f>SUMPRODUCT(--((A954=$A$3:$A$2785)*$H$3:$H$2785&gt;H954))+1</f>
        <v>22</v>
      </c>
    </row>
    <row r="955" s="1" customFormat="true" customHeight="true" spans="1:10">
      <c r="A955" s="4" t="str">
        <f t="shared" si="133"/>
        <v>020</v>
      </c>
      <c r="B955" s="4" t="s">
        <v>32</v>
      </c>
      <c r="C955" s="4" t="str">
        <f>"蒋苗芝"</f>
        <v>蒋苗芝</v>
      </c>
      <c r="D955" s="4" t="str">
        <f>"2021023609"</f>
        <v>2021023609</v>
      </c>
      <c r="E955" s="4" t="str">
        <f>"36"</f>
        <v>36</v>
      </c>
      <c r="F955" s="4" t="str">
        <f>"09"</f>
        <v>09</v>
      </c>
      <c r="G955" s="4" t="s">
        <v>27</v>
      </c>
      <c r="H955" s="5">
        <v>61.36</v>
      </c>
      <c r="I955" s="4"/>
      <c r="J955" s="4">
        <f>SUMPRODUCT(--((A955=$A$3:$A$2785)*$H$3:$H$2785&gt;H955))+1</f>
        <v>23</v>
      </c>
    </row>
    <row r="956" s="1" customFormat="true" customHeight="true" spans="1:10">
      <c r="A956" s="4" t="str">
        <f t="shared" si="133"/>
        <v>020</v>
      </c>
      <c r="B956" s="4" t="s">
        <v>32</v>
      </c>
      <c r="C956" s="4" t="str">
        <f>"尹华"</f>
        <v>尹华</v>
      </c>
      <c r="D956" s="4" t="str">
        <f>"2021024010"</f>
        <v>2021024010</v>
      </c>
      <c r="E956" s="4" t="str">
        <f>"40"</f>
        <v>40</v>
      </c>
      <c r="F956" s="4" t="str">
        <f>"10"</f>
        <v>10</v>
      </c>
      <c r="G956" s="4" t="s">
        <v>27</v>
      </c>
      <c r="H956" s="5">
        <v>61.34</v>
      </c>
      <c r="I956" s="4"/>
      <c r="J956" s="4">
        <f>SUMPRODUCT(--((A956=$A$3:$A$2785)*$H$3:$H$2785&gt;H956))+1</f>
        <v>24</v>
      </c>
    </row>
    <row r="957" s="1" customFormat="true" customHeight="true" spans="1:10">
      <c r="A957" s="4" t="str">
        <f t="shared" si="133"/>
        <v>020</v>
      </c>
      <c r="B957" s="4" t="s">
        <v>32</v>
      </c>
      <c r="C957" s="4" t="str">
        <f>"吴祝琴"</f>
        <v>吴祝琴</v>
      </c>
      <c r="D957" s="4" t="str">
        <f>"2021023825"</f>
        <v>2021023825</v>
      </c>
      <c r="E957" s="4" t="str">
        <f>"38"</f>
        <v>38</v>
      </c>
      <c r="F957" s="4" t="str">
        <f>"25"</f>
        <v>25</v>
      </c>
      <c r="G957" s="4" t="s">
        <v>27</v>
      </c>
      <c r="H957" s="5">
        <v>60.48</v>
      </c>
      <c r="I957" s="4"/>
      <c r="J957" s="4">
        <f>SUMPRODUCT(--((A957=$A$3:$A$2785)*$H$3:$H$2785&gt;H957))+1</f>
        <v>25</v>
      </c>
    </row>
    <row r="958" s="1" customFormat="true" customHeight="true" spans="1:10">
      <c r="A958" s="4" t="str">
        <f t="shared" si="133"/>
        <v>020</v>
      </c>
      <c r="B958" s="4" t="s">
        <v>32</v>
      </c>
      <c r="C958" s="4" t="str">
        <f>"覃资慧"</f>
        <v>覃资慧</v>
      </c>
      <c r="D958" s="4" t="str">
        <f>"2021023923"</f>
        <v>2021023923</v>
      </c>
      <c r="E958" s="4" t="str">
        <f t="shared" ref="E958:E963" si="137">"39"</f>
        <v>39</v>
      </c>
      <c r="F958" s="4" t="str">
        <f>"23"</f>
        <v>23</v>
      </c>
      <c r="G958" s="4" t="s">
        <v>27</v>
      </c>
      <c r="H958" s="5">
        <v>60.27</v>
      </c>
      <c r="I958" s="4"/>
      <c r="J958" s="4">
        <f>SUMPRODUCT(--((A958=$A$3:$A$2785)*$H$3:$H$2785&gt;H958))+1</f>
        <v>26</v>
      </c>
    </row>
    <row r="959" s="1" customFormat="true" customHeight="true" spans="1:10">
      <c r="A959" s="4" t="str">
        <f t="shared" si="133"/>
        <v>020</v>
      </c>
      <c r="B959" s="4" t="s">
        <v>32</v>
      </c>
      <c r="C959" s="4" t="str">
        <f>"钟华"</f>
        <v>钟华</v>
      </c>
      <c r="D959" s="4" t="str">
        <f>"2021023605"</f>
        <v>2021023605</v>
      </c>
      <c r="E959" s="4" t="str">
        <f>"36"</f>
        <v>36</v>
      </c>
      <c r="F959" s="4" t="str">
        <f>"05"</f>
        <v>05</v>
      </c>
      <c r="G959" s="4" t="s">
        <v>27</v>
      </c>
      <c r="H959" s="5">
        <v>60.05</v>
      </c>
      <c r="I959" s="4"/>
      <c r="J959" s="4">
        <f>SUMPRODUCT(--((A959=$A$3:$A$2785)*$H$3:$H$2785&gt;H959))+1</f>
        <v>27</v>
      </c>
    </row>
    <row r="960" s="1" customFormat="true" customHeight="true" spans="1:10">
      <c r="A960" s="4" t="str">
        <f t="shared" si="133"/>
        <v>020</v>
      </c>
      <c r="B960" s="4" t="s">
        <v>32</v>
      </c>
      <c r="C960" s="4" t="str">
        <f>"贺婷"</f>
        <v>贺婷</v>
      </c>
      <c r="D960" s="4" t="str">
        <f>"2021023519"</f>
        <v>2021023519</v>
      </c>
      <c r="E960" s="4" t="str">
        <f>"35"</f>
        <v>35</v>
      </c>
      <c r="F960" s="4" t="str">
        <f>"19"</f>
        <v>19</v>
      </c>
      <c r="G960" s="4" t="s">
        <v>27</v>
      </c>
      <c r="H960" s="5">
        <v>59.86</v>
      </c>
      <c r="I960" s="4"/>
      <c r="J960" s="4">
        <f>SUMPRODUCT(--((A960=$A$3:$A$2785)*$H$3:$H$2785&gt;H960))+1</f>
        <v>28</v>
      </c>
    </row>
    <row r="961" s="1" customFormat="true" ht="30.75" customHeight="true" spans="1:10">
      <c r="A961" s="4" t="str">
        <f t="shared" si="133"/>
        <v>020</v>
      </c>
      <c r="B961" s="4" t="s">
        <v>32</v>
      </c>
      <c r="C961" s="4" t="str">
        <f>"张竹君"</f>
        <v>张竹君</v>
      </c>
      <c r="D961" s="4" t="str">
        <f>"2021023901"</f>
        <v>2021023901</v>
      </c>
      <c r="E961" s="4" t="str">
        <f t="shared" si="137"/>
        <v>39</v>
      </c>
      <c r="F961" s="4" t="str">
        <f>"01"</f>
        <v>01</v>
      </c>
      <c r="G961" s="4" t="s">
        <v>27</v>
      </c>
      <c r="H961" s="5">
        <v>59.19</v>
      </c>
      <c r="I961" s="7"/>
      <c r="J961" s="4">
        <f>SUMPRODUCT(--((A961=$A$3:$A$2785)*$H$3:$H$2785&gt;H961))+1</f>
        <v>29</v>
      </c>
    </row>
    <row r="962" s="1" customFormat="true" customHeight="true" spans="1:10">
      <c r="A962" s="4" t="str">
        <f t="shared" si="133"/>
        <v>020</v>
      </c>
      <c r="B962" s="4" t="s">
        <v>32</v>
      </c>
      <c r="C962" s="4" t="str">
        <f>"黄玉婷"</f>
        <v>黄玉婷</v>
      </c>
      <c r="D962" s="4" t="str">
        <f>"2021024002"</f>
        <v>2021024002</v>
      </c>
      <c r="E962" s="4" t="str">
        <f>"40"</f>
        <v>40</v>
      </c>
      <c r="F962" s="4" t="str">
        <f>"02"</f>
        <v>02</v>
      </c>
      <c r="G962" s="4" t="s">
        <v>27</v>
      </c>
      <c r="H962" s="5">
        <v>59.08</v>
      </c>
      <c r="I962" s="4"/>
      <c r="J962" s="4">
        <f>SUMPRODUCT(--((A962=$A$3:$A$2785)*$H$3:$H$2785&gt;H962))+1</f>
        <v>30</v>
      </c>
    </row>
    <row r="963" s="1" customFormat="true" customHeight="true" spans="1:10">
      <c r="A963" s="4" t="str">
        <f t="shared" si="133"/>
        <v>020</v>
      </c>
      <c r="B963" s="4" t="s">
        <v>32</v>
      </c>
      <c r="C963" s="4" t="str">
        <f>"陈迪"</f>
        <v>陈迪</v>
      </c>
      <c r="D963" s="4" t="str">
        <f>"2021023922"</f>
        <v>2021023922</v>
      </c>
      <c r="E963" s="4" t="str">
        <f t="shared" si="137"/>
        <v>39</v>
      </c>
      <c r="F963" s="4" t="str">
        <f>"22"</f>
        <v>22</v>
      </c>
      <c r="G963" s="4" t="s">
        <v>27</v>
      </c>
      <c r="H963" s="5">
        <v>58.84</v>
      </c>
      <c r="I963" s="4"/>
      <c r="J963" s="4">
        <f>SUMPRODUCT(--((A963=$A$3:$A$2785)*$H$3:$H$2785&gt;H963))+1</f>
        <v>31</v>
      </c>
    </row>
    <row r="964" s="1" customFormat="true" customHeight="true" spans="1:10">
      <c r="A964" s="4" t="str">
        <f t="shared" si="133"/>
        <v>020</v>
      </c>
      <c r="B964" s="4" t="s">
        <v>32</v>
      </c>
      <c r="C964" s="4" t="str">
        <f>"陈丽华"</f>
        <v>陈丽华</v>
      </c>
      <c r="D964" s="4" t="str">
        <f>"2021023525"</f>
        <v>2021023525</v>
      </c>
      <c r="E964" s="4" t="str">
        <f t="shared" ref="E964:E967" si="138">"35"</f>
        <v>35</v>
      </c>
      <c r="F964" s="4" t="str">
        <f>"25"</f>
        <v>25</v>
      </c>
      <c r="G964" s="4" t="s">
        <v>27</v>
      </c>
      <c r="H964" s="5">
        <v>58.69</v>
      </c>
      <c r="I964" s="4"/>
      <c r="J964" s="4">
        <f>SUMPRODUCT(--((A964=$A$3:$A$2785)*$H$3:$H$2785&gt;H964))+1</f>
        <v>32</v>
      </c>
    </row>
    <row r="965" s="1" customFormat="true" customHeight="true" spans="1:10">
      <c r="A965" s="4" t="str">
        <f t="shared" si="133"/>
        <v>020</v>
      </c>
      <c r="B965" s="4" t="s">
        <v>32</v>
      </c>
      <c r="C965" s="4" t="str">
        <f>"肖婷婷"</f>
        <v>肖婷婷</v>
      </c>
      <c r="D965" s="4" t="str">
        <f>"2021023927"</f>
        <v>2021023927</v>
      </c>
      <c r="E965" s="4" t="str">
        <f>"39"</f>
        <v>39</v>
      </c>
      <c r="F965" s="4" t="str">
        <f>"27"</f>
        <v>27</v>
      </c>
      <c r="G965" s="4" t="s">
        <v>27</v>
      </c>
      <c r="H965" s="5">
        <v>58.57</v>
      </c>
      <c r="I965" s="4"/>
      <c r="J965" s="4">
        <f>SUMPRODUCT(--((A965=$A$3:$A$2785)*$H$3:$H$2785&gt;H965))+1</f>
        <v>33</v>
      </c>
    </row>
    <row r="966" s="1" customFormat="true" customHeight="true" spans="1:10">
      <c r="A966" s="4" t="str">
        <f t="shared" si="133"/>
        <v>020</v>
      </c>
      <c r="B966" s="4" t="s">
        <v>32</v>
      </c>
      <c r="C966" s="4" t="str">
        <f>"曾鑫"</f>
        <v>曾鑫</v>
      </c>
      <c r="D966" s="4" t="str">
        <f>"2021023527"</f>
        <v>2021023527</v>
      </c>
      <c r="E966" s="4" t="str">
        <f t="shared" si="138"/>
        <v>35</v>
      </c>
      <c r="F966" s="4" t="str">
        <f>"27"</f>
        <v>27</v>
      </c>
      <c r="G966" s="4" t="s">
        <v>27</v>
      </c>
      <c r="H966" s="5">
        <v>58.13</v>
      </c>
      <c r="I966" s="4"/>
      <c r="J966" s="4">
        <f>SUMPRODUCT(--((A966=$A$3:$A$2785)*$H$3:$H$2785&gt;H966))+1</f>
        <v>34</v>
      </c>
    </row>
    <row r="967" s="1" customFormat="true" customHeight="true" spans="1:10">
      <c r="A967" s="4" t="str">
        <f t="shared" si="133"/>
        <v>020</v>
      </c>
      <c r="B967" s="4" t="s">
        <v>32</v>
      </c>
      <c r="C967" s="4" t="str">
        <f>"朱媛霞"</f>
        <v>朱媛霞</v>
      </c>
      <c r="D967" s="4" t="str">
        <f>"2021023521"</f>
        <v>2021023521</v>
      </c>
      <c r="E967" s="4" t="str">
        <f t="shared" si="138"/>
        <v>35</v>
      </c>
      <c r="F967" s="4" t="str">
        <f t="shared" ref="F967:F972" si="139">"21"</f>
        <v>21</v>
      </c>
      <c r="G967" s="4" t="s">
        <v>27</v>
      </c>
      <c r="H967" s="5">
        <v>58.01</v>
      </c>
      <c r="I967" s="4"/>
      <c r="J967" s="4">
        <f>SUMPRODUCT(--((A967=$A$3:$A$2785)*$H$3:$H$2785&gt;H967))+1</f>
        <v>35</v>
      </c>
    </row>
    <row r="968" s="1" customFormat="true" customHeight="true" spans="1:10">
      <c r="A968" s="4" t="str">
        <f t="shared" si="133"/>
        <v>020</v>
      </c>
      <c r="B968" s="4" t="s">
        <v>32</v>
      </c>
      <c r="C968" s="4" t="str">
        <f>"吴收麦"</f>
        <v>吴收麦</v>
      </c>
      <c r="D968" s="4" t="str">
        <f>"2021023626"</f>
        <v>2021023626</v>
      </c>
      <c r="E968" s="4" t="str">
        <f t="shared" ref="E968:E972" si="140">"36"</f>
        <v>36</v>
      </c>
      <c r="F968" s="4" t="str">
        <f>"26"</f>
        <v>26</v>
      </c>
      <c r="G968" s="4" t="s">
        <v>27</v>
      </c>
      <c r="H968" s="5">
        <v>57.95</v>
      </c>
      <c r="I968" s="4"/>
      <c r="J968" s="4">
        <f>SUMPRODUCT(--((A968=$A$3:$A$2785)*$H$3:$H$2785&gt;H968))+1</f>
        <v>36</v>
      </c>
    </row>
    <row r="969" s="1" customFormat="true" customHeight="true" spans="1:10">
      <c r="A969" s="4" t="str">
        <f t="shared" si="133"/>
        <v>020</v>
      </c>
      <c r="B969" s="4" t="s">
        <v>32</v>
      </c>
      <c r="C969" s="4" t="str">
        <f>"田青"</f>
        <v>田青</v>
      </c>
      <c r="D969" s="4" t="str">
        <f>"2021023517"</f>
        <v>2021023517</v>
      </c>
      <c r="E969" s="4" t="str">
        <f>"35"</f>
        <v>35</v>
      </c>
      <c r="F969" s="4" t="str">
        <f>"17"</f>
        <v>17</v>
      </c>
      <c r="G969" s="4" t="s">
        <v>27</v>
      </c>
      <c r="H969" s="5">
        <v>57.7</v>
      </c>
      <c r="I969" s="4"/>
      <c r="J969" s="4">
        <f>SUMPRODUCT(--((A969=$A$3:$A$2785)*$H$3:$H$2785&gt;H969))+1</f>
        <v>37</v>
      </c>
    </row>
    <row r="970" s="1" customFormat="true" customHeight="true" spans="1:10">
      <c r="A970" s="4" t="str">
        <f t="shared" si="133"/>
        <v>020</v>
      </c>
      <c r="B970" s="4" t="s">
        <v>32</v>
      </c>
      <c r="C970" s="4" t="str">
        <f>"吴谨初"</f>
        <v>吴谨初</v>
      </c>
      <c r="D970" s="4" t="str">
        <f>"2021023721"</f>
        <v>2021023721</v>
      </c>
      <c r="E970" s="4" t="str">
        <f>"37"</f>
        <v>37</v>
      </c>
      <c r="F970" s="4" t="str">
        <f t="shared" si="139"/>
        <v>21</v>
      </c>
      <c r="G970" s="4" t="s">
        <v>27</v>
      </c>
      <c r="H970" s="5">
        <v>57.66</v>
      </c>
      <c r="I970" s="4"/>
      <c r="J970" s="4">
        <f>SUMPRODUCT(--((A970=$A$3:$A$2785)*$H$3:$H$2785&gt;H970))+1</f>
        <v>38</v>
      </c>
    </row>
    <row r="971" s="1" customFormat="true" customHeight="true" spans="1:10">
      <c r="A971" s="4" t="str">
        <f t="shared" si="133"/>
        <v>020</v>
      </c>
      <c r="B971" s="4" t="s">
        <v>32</v>
      </c>
      <c r="C971" s="4" t="str">
        <f>"胡莎莎"</f>
        <v>胡莎莎</v>
      </c>
      <c r="D971" s="4" t="str">
        <f>"2021023629"</f>
        <v>2021023629</v>
      </c>
      <c r="E971" s="4" t="str">
        <f t="shared" si="140"/>
        <v>36</v>
      </c>
      <c r="F971" s="4" t="str">
        <f>"29"</f>
        <v>29</v>
      </c>
      <c r="G971" s="4" t="s">
        <v>27</v>
      </c>
      <c r="H971" s="5">
        <v>57.55</v>
      </c>
      <c r="I971" s="4"/>
      <c r="J971" s="4">
        <f>SUMPRODUCT(--((A971=$A$3:$A$2785)*$H$3:$H$2785&gt;H971))+1</f>
        <v>39</v>
      </c>
    </row>
    <row r="972" s="1" customFormat="true" customHeight="true" spans="1:10">
      <c r="A972" s="4" t="str">
        <f t="shared" si="133"/>
        <v>020</v>
      </c>
      <c r="B972" s="4" t="s">
        <v>32</v>
      </c>
      <c r="C972" s="4" t="str">
        <f>"张梦菲"</f>
        <v>张梦菲</v>
      </c>
      <c r="D972" s="4" t="str">
        <f>"2021023621"</f>
        <v>2021023621</v>
      </c>
      <c r="E972" s="4" t="str">
        <f t="shared" si="140"/>
        <v>36</v>
      </c>
      <c r="F972" s="4" t="str">
        <f t="shared" si="139"/>
        <v>21</v>
      </c>
      <c r="G972" s="4" t="s">
        <v>27</v>
      </c>
      <c r="H972" s="5">
        <v>57.26</v>
      </c>
      <c r="I972" s="4"/>
      <c r="J972" s="4">
        <f>SUMPRODUCT(--((A972=$A$3:$A$2785)*$H$3:$H$2785&gt;H972))+1</f>
        <v>40</v>
      </c>
    </row>
    <row r="973" s="1" customFormat="true" customHeight="true" spans="1:10">
      <c r="A973" s="4" t="str">
        <f t="shared" si="133"/>
        <v>020</v>
      </c>
      <c r="B973" s="4" t="s">
        <v>32</v>
      </c>
      <c r="C973" s="4" t="str">
        <f>"陈柳蓁"</f>
        <v>陈柳蓁</v>
      </c>
      <c r="D973" s="4" t="str">
        <f>"2021023701"</f>
        <v>2021023701</v>
      </c>
      <c r="E973" s="4" t="str">
        <f>"37"</f>
        <v>37</v>
      </c>
      <c r="F973" s="4" t="str">
        <f>"01"</f>
        <v>01</v>
      </c>
      <c r="G973" s="4" t="s">
        <v>27</v>
      </c>
      <c r="H973" s="5">
        <v>57.05</v>
      </c>
      <c r="I973" s="4"/>
      <c r="J973" s="4">
        <f>SUMPRODUCT(--((A973=$A$3:$A$2785)*$H$3:$H$2785&gt;H973))+1</f>
        <v>41</v>
      </c>
    </row>
    <row r="974" s="1" customFormat="true" customHeight="true" spans="1:10">
      <c r="A974" s="4" t="str">
        <f t="shared" si="133"/>
        <v>020</v>
      </c>
      <c r="B974" s="4" t="s">
        <v>32</v>
      </c>
      <c r="C974" s="4" t="str">
        <f>"龙星余"</f>
        <v>龙星余</v>
      </c>
      <c r="D974" s="4" t="str">
        <f>"2021023613"</f>
        <v>2021023613</v>
      </c>
      <c r="E974" s="4" t="str">
        <f t="shared" ref="E974:E977" si="141">"36"</f>
        <v>36</v>
      </c>
      <c r="F974" s="4" t="str">
        <f>"13"</f>
        <v>13</v>
      </c>
      <c r="G974" s="4" t="s">
        <v>27</v>
      </c>
      <c r="H974" s="5">
        <v>56.97</v>
      </c>
      <c r="I974" s="4"/>
      <c r="J974" s="4">
        <f>SUMPRODUCT(--((A974=$A$3:$A$2785)*$H$3:$H$2785&gt;H974))+1</f>
        <v>42</v>
      </c>
    </row>
    <row r="975" s="1" customFormat="true" customHeight="true" spans="1:10">
      <c r="A975" s="4" t="str">
        <f t="shared" si="133"/>
        <v>020</v>
      </c>
      <c r="B975" s="4" t="s">
        <v>32</v>
      </c>
      <c r="C975" s="4" t="str">
        <f>"申燕"</f>
        <v>申燕</v>
      </c>
      <c r="D975" s="4" t="str">
        <f>"2021023617"</f>
        <v>2021023617</v>
      </c>
      <c r="E975" s="4" t="str">
        <f t="shared" si="141"/>
        <v>36</v>
      </c>
      <c r="F975" s="4" t="str">
        <f>"17"</f>
        <v>17</v>
      </c>
      <c r="G975" s="4" t="s">
        <v>27</v>
      </c>
      <c r="H975" s="5">
        <v>56.86</v>
      </c>
      <c r="I975" s="4"/>
      <c r="J975" s="4">
        <f>SUMPRODUCT(--((A975=$A$3:$A$2785)*$H$3:$H$2785&gt;H975))+1</f>
        <v>43</v>
      </c>
    </row>
    <row r="976" s="1" customFormat="true" customHeight="true" spans="1:10">
      <c r="A976" s="4" t="str">
        <f t="shared" si="133"/>
        <v>020</v>
      </c>
      <c r="B976" s="4" t="s">
        <v>32</v>
      </c>
      <c r="C976" s="4" t="str">
        <f>"祁惠云"</f>
        <v>祁惠云</v>
      </c>
      <c r="D976" s="4" t="str">
        <f>"2021024004"</f>
        <v>2021024004</v>
      </c>
      <c r="E976" s="4" t="str">
        <f>"40"</f>
        <v>40</v>
      </c>
      <c r="F976" s="4" t="str">
        <f>"04"</f>
        <v>04</v>
      </c>
      <c r="G976" s="4" t="s">
        <v>27</v>
      </c>
      <c r="H976" s="5">
        <v>56.76</v>
      </c>
      <c r="I976" s="4"/>
      <c r="J976" s="4">
        <f>SUMPRODUCT(--((A976=$A$3:$A$2785)*$H$3:$H$2785&gt;H976))+1</f>
        <v>44</v>
      </c>
    </row>
    <row r="977" s="1" customFormat="true" customHeight="true" spans="1:10">
      <c r="A977" s="4" t="str">
        <f t="shared" si="133"/>
        <v>020</v>
      </c>
      <c r="B977" s="4" t="s">
        <v>32</v>
      </c>
      <c r="C977" s="4" t="str">
        <f>"路屹琳"</f>
        <v>路屹琳</v>
      </c>
      <c r="D977" s="4" t="str">
        <f>"2021023601"</f>
        <v>2021023601</v>
      </c>
      <c r="E977" s="4" t="str">
        <f t="shared" si="141"/>
        <v>36</v>
      </c>
      <c r="F977" s="4" t="str">
        <f>"01"</f>
        <v>01</v>
      </c>
      <c r="G977" s="4" t="s">
        <v>27</v>
      </c>
      <c r="H977" s="5">
        <v>56.65</v>
      </c>
      <c r="I977" s="4"/>
      <c r="J977" s="4">
        <f>SUMPRODUCT(--((A977=$A$3:$A$2785)*$H$3:$H$2785&gt;H977))+1</f>
        <v>45</v>
      </c>
    </row>
    <row r="978" s="1" customFormat="true" customHeight="true" spans="1:10">
      <c r="A978" s="4" t="str">
        <f t="shared" si="133"/>
        <v>020</v>
      </c>
      <c r="B978" s="4" t="s">
        <v>32</v>
      </c>
      <c r="C978" s="4" t="str">
        <f>"郑品玉"</f>
        <v>郑品玉</v>
      </c>
      <c r="D978" s="4" t="str">
        <f>"2021023526"</f>
        <v>2021023526</v>
      </c>
      <c r="E978" s="4" t="str">
        <f t="shared" ref="E978:E982" si="142">"35"</f>
        <v>35</v>
      </c>
      <c r="F978" s="4" t="str">
        <f>"26"</f>
        <v>26</v>
      </c>
      <c r="G978" s="4" t="s">
        <v>27</v>
      </c>
      <c r="H978" s="5">
        <v>56.55</v>
      </c>
      <c r="I978" s="4"/>
      <c r="J978" s="4">
        <f>SUMPRODUCT(--((A978=$A$3:$A$2785)*$H$3:$H$2785&gt;H978))+1</f>
        <v>46</v>
      </c>
    </row>
    <row r="979" s="1" customFormat="true" customHeight="true" spans="1:10">
      <c r="A979" s="4" t="str">
        <f t="shared" si="133"/>
        <v>020</v>
      </c>
      <c r="B979" s="4" t="s">
        <v>32</v>
      </c>
      <c r="C979" s="4" t="str">
        <f>"杨晨"</f>
        <v>杨晨</v>
      </c>
      <c r="D979" s="4" t="str">
        <f>"2021023909"</f>
        <v>2021023909</v>
      </c>
      <c r="E979" s="4" t="str">
        <f>"39"</f>
        <v>39</v>
      </c>
      <c r="F979" s="4" t="str">
        <f>"09"</f>
        <v>09</v>
      </c>
      <c r="G979" s="4" t="s">
        <v>27</v>
      </c>
      <c r="H979" s="5">
        <v>56.28</v>
      </c>
      <c r="I979" s="4"/>
      <c r="J979" s="4">
        <f>SUMPRODUCT(--((A979=$A$3:$A$2785)*$H$3:$H$2785&gt;H979))+1</f>
        <v>47</v>
      </c>
    </row>
    <row r="980" s="1" customFormat="true" customHeight="true" spans="1:10">
      <c r="A980" s="4" t="str">
        <f t="shared" si="133"/>
        <v>020</v>
      </c>
      <c r="B980" s="4" t="s">
        <v>32</v>
      </c>
      <c r="C980" s="4" t="str">
        <f>"杨馥榕"</f>
        <v>杨馥榕</v>
      </c>
      <c r="D980" s="4" t="str">
        <f>"2021023811"</f>
        <v>2021023811</v>
      </c>
      <c r="E980" s="4" t="str">
        <f>"38"</f>
        <v>38</v>
      </c>
      <c r="F980" s="4" t="str">
        <f>"11"</f>
        <v>11</v>
      </c>
      <c r="G980" s="4" t="s">
        <v>27</v>
      </c>
      <c r="H980" s="5">
        <v>55.76</v>
      </c>
      <c r="I980" s="4"/>
      <c r="J980" s="4">
        <f>SUMPRODUCT(--((A980=$A$3:$A$2785)*$H$3:$H$2785&gt;H980))+1</f>
        <v>48</v>
      </c>
    </row>
    <row r="981" s="1" customFormat="true" customHeight="true" spans="1:10">
      <c r="A981" s="4" t="str">
        <f t="shared" si="133"/>
        <v>020</v>
      </c>
      <c r="B981" s="4" t="s">
        <v>32</v>
      </c>
      <c r="C981" s="4" t="str">
        <f>"陈金桃"</f>
        <v>陈金桃</v>
      </c>
      <c r="D981" s="4" t="str">
        <f>"2021023520"</f>
        <v>2021023520</v>
      </c>
      <c r="E981" s="4" t="str">
        <f t="shared" si="142"/>
        <v>35</v>
      </c>
      <c r="F981" s="4" t="str">
        <f>"20"</f>
        <v>20</v>
      </c>
      <c r="G981" s="4" t="s">
        <v>27</v>
      </c>
      <c r="H981" s="5">
        <v>55.72</v>
      </c>
      <c r="I981" s="4"/>
      <c r="J981" s="4">
        <f>SUMPRODUCT(--((A981=$A$3:$A$2785)*$H$3:$H$2785&gt;H981))+1</f>
        <v>49</v>
      </c>
    </row>
    <row r="982" s="1" customFormat="true" customHeight="true" spans="1:10">
      <c r="A982" s="4" t="str">
        <f t="shared" si="133"/>
        <v>020</v>
      </c>
      <c r="B982" s="4" t="s">
        <v>32</v>
      </c>
      <c r="C982" s="4" t="str">
        <f>"覃雨薇"</f>
        <v>覃雨薇</v>
      </c>
      <c r="D982" s="4" t="str">
        <f>"2021023529"</f>
        <v>2021023529</v>
      </c>
      <c r="E982" s="4" t="str">
        <f t="shared" si="142"/>
        <v>35</v>
      </c>
      <c r="F982" s="4" t="str">
        <f>"29"</f>
        <v>29</v>
      </c>
      <c r="G982" s="4" t="s">
        <v>27</v>
      </c>
      <c r="H982" s="5">
        <v>55.63</v>
      </c>
      <c r="I982" s="4"/>
      <c r="J982" s="4">
        <f>SUMPRODUCT(--((A982=$A$3:$A$2785)*$H$3:$H$2785&gt;H982))+1</f>
        <v>50</v>
      </c>
    </row>
    <row r="983" s="1" customFormat="true" customHeight="true" spans="1:10">
      <c r="A983" s="4" t="str">
        <f t="shared" si="133"/>
        <v>020</v>
      </c>
      <c r="B983" s="4" t="s">
        <v>32</v>
      </c>
      <c r="C983" s="4" t="str">
        <f>"王思琪"</f>
        <v>王思琪</v>
      </c>
      <c r="D983" s="4" t="str">
        <f>"2021023717"</f>
        <v>2021023717</v>
      </c>
      <c r="E983" s="4" t="str">
        <f>"37"</f>
        <v>37</v>
      </c>
      <c r="F983" s="4" t="str">
        <f>"17"</f>
        <v>17</v>
      </c>
      <c r="G983" s="4" t="s">
        <v>27</v>
      </c>
      <c r="H983" s="5">
        <v>55.61</v>
      </c>
      <c r="I983" s="4"/>
      <c r="J983" s="4">
        <f>SUMPRODUCT(--((A983=$A$3:$A$2785)*$H$3:$H$2785&gt;H983))+1</f>
        <v>51</v>
      </c>
    </row>
    <row r="984" s="1" customFormat="true" customHeight="true" spans="1:10">
      <c r="A984" s="4" t="str">
        <f t="shared" si="133"/>
        <v>020</v>
      </c>
      <c r="B984" s="4" t="s">
        <v>32</v>
      </c>
      <c r="C984" s="4" t="str">
        <f>"李菲"</f>
        <v>李菲</v>
      </c>
      <c r="D984" s="4" t="str">
        <f>"2021023530"</f>
        <v>2021023530</v>
      </c>
      <c r="E984" s="4" t="str">
        <f>"35"</f>
        <v>35</v>
      </c>
      <c r="F984" s="4" t="str">
        <f>"30"</f>
        <v>30</v>
      </c>
      <c r="G984" s="4" t="s">
        <v>27</v>
      </c>
      <c r="H984" s="5">
        <v>55.59</v>
      </c>
      <c r="I984" s="4"/>
      <c r="J984" s="4">
        <f>SUMPRODUCT(--((A984=$A$3:$A$2785)*$H$3:$H$2785&gt;H984))+1</f>
        <v>52</v>
      </c>
    </row>
    <row r="985" s="1" customFormat="true" customHeight="true" spans="1:10">
      <c r="A985" s="4" t="str">
        <f t="shared" si="133"/>
        <v>020</v>
      </c>
      <c r="B985" s="4" t="s">
        <v>32</v>
      </c>
      <c r="C985" s="4" t="str">
        <f>"李玉莲"</f>
        <v>李玉莲</v>
      </c>
      <c r="D985" s="4" t="str">
        <f>"2021023518"</f>
        <v>2021023518</v>
      </c>
      <c r="E985" s="4" t="str">
        <f>"35"</f>
        <v>35</v>
      </c>
      <c r="F985" s="4" t="str">
        <f>"18"</f>
        <v>18</v>
      </c>
      <c r="G985" s="4" t="s">
        <v>27</v>
      </c>
      <c r="H985" s="5">
        <v>55.45</v>
      </c>
      <c r="I985" s="4"/>
      <c r="J985" s="4">
        <f>SUMPRODUCT(--((A985=$A$3:$A$2785)*$H$3:$H$2785&gt;H985))+1</f>
        <v>53</v>
      </c>
    </row>
    <row r="986" s="1" customFormat="true" customHeight="true" spans="1:10">
      <c r="A986" s="4" t="str">
        <f t="shared" si="133"/>
        <v>020</v>
      </c>
      <c r="B986" s="4" t="s">
        <v>32</v>
      </c>
      <c r="C986" s="4" t="str">
        <f>"易瑶"</f>
        <v>易瑶</v>
      </c>
      <c r="D986" s="4" t="str">
        <f>"2021023602"</f>
        <v>2021023602</v>
      </c>
      <c r="E986" s="4" t="str">
        <f t="shared" ref="E986:E990" si="143">"36"</f>
        <v>36</v>
      </c>
      <c r="F986" s="4" t="str">
        <f>"02"</f>
        <v>02</v>
      </c>
      <c r="G986" s="4" t="s">
        <v>27</v>
      </c>
      <c r="H986" s="5">
        <v>55.45</v>
      </c>
      <c r="I986" s="4"/>
      <c r="J986" s="4">
        <f>SUMPRODUCT(--((A986=$A$3:$A$2785)*$H$3:$H$2785&gt;H986))+1</f>
        <v>53</v>
      </c>
    </row>
    <row r="987" s="1" customFormat="true" customHeight="true" spans="1:10">
      <c r="A987" s="4" t="str">
        <f t="shared" si="133"/>
        <v>020</v>
      </c>
      <c r="B987" s="4" t="s">
        <v>32</v>
      </c>
      <c r="C987" s="4" t="str">
        <f>"谌俞"</f>
        <v>谌俞</v>
      </c>
      <c r="D987" s="4" t="str">
        <f>"2021023628"</f>
        <v>2021023628</v>
      </c>
      <c r="E987" s="4" t="str">
        <f t="shared" si="143"/>
        <v>36</v>
      </c>
      <c r="F987" s="4" t="str">
        <f>"28"</f>
        <v>28</v>
      </c>
      <c r="G987" s="4" t="s">
        <v>27</v>
      </c>
      <c r="H987" s="5">
        <v>55.37</v>
      </c>
      <c r="I987" s="4"/>
      <c r="J987" s="4">
        <f>SUMPRODUCT(--((A987=$A$3:$A$2785)*$H$3:$H$2785&gt;H987))+1</f>
        <v>55</v>
      </c>
    </row>
    <row r="988" s="1" customFormat="true" customHeight="true" spans="1:10">
      <c r="A988" s="4" t="str">
        <f t="shared" si="133"/>
        <v>020</v>
      </c>
      <c r="B988" s="4" t="s">
        <v>32</v>
      </c>
      <c r="C988" s="4" t="str">
        <f>"王梅依可"</f>
        <v>王梅依可</v>
      </c>
      <c r="D988" s="4" t="str">
        <f>"2021023920"</f>
        <v>2021023920</v>
      </c>
      <c r="E988" s="4" t="str">
        <f>"39"</f>
        <v>39</v>
      </c>
      <c r="F988" s="4" t="str">
        <f>"20"</f>
        <v>20</v>
      </c>
      <c r="G988" s="4" t="s">
        <v>27</v>
      </c>
      <c r="H988" s="5">
        <v>55.36</v>
      </c>
      <c r="I988" s="4"/>
      <c r="J988" s="4">
        <f>SUMPRODUCT(--((A988=$A$3:$A$2785)*$H$3:$H$2785&gt;H988))+1</f>
        <v>56</v>
      </c>
    </row>
    <row r="989" s="1" customFormat="true" customHeight="true" spans="1:10">
      <c r="A989" s="4" t="str">
        <f t="shared" si="133"/>
        <v>020</v>
      </c>
      <c r="B989" s="4" t="s">
        <v>32</v>
      </c>
      <c r="C989" s="4" t="str">
        <f>"彭佳欣"</f>
        <v>彭佳欣</v>
      </c>
      <c r="D989" s="4" t="str">
        <f>"2021023904"</f>
        <v>2021023904</v>
      </c>
      <c r="E989" s="4" t="str">
        <f>"39"</f>
        <v>39</v>
      </c>
      <c r="F989" s="4" t="str">
        <f>"04"</f>
        <v>04</v>
      </c>
      <c r="G989" s="4" t="s">
        <v>27</v>
      </c>
      <c r="H989" s="5">
        <v>55.2</v>
      </c>
      <c r="I989" s="4"/>
      <c r="J989" s="4">
        <f>SUMPRODUCT(--((A989=$A$3:$A$2785)*$H$3:$H$2785&gt;H989))+1</f>
        <v>57</v>
      </c>
    </row>
    <row r="990" s="1" customFormat="true" customHeight="true" spans="1:10">
      <c r="A990" s="4" t="str">
        <f t="shared" si="133"/>
        <v>020</v>
      </c>
      <c r="B990" s="4" t="s">
        <v>32</v>
      </c>
      <c r="C990" s="4" t="str">
        <f>"张迪"</f>
        <v>张迪</v>
      </c>
      <c r="D990" s="4" t="str">
        <f>"2021023611"</f>
        <v>2021023611</v>
      </c>
      <c r="E990" s="4" t="str">
        <f t="shared" si="143"/>
        <v>36</v>
      </c>
      <c r="F990" s="4" t="str">
        <f>"11"</f>
        <v>11</v>
      </c>
      <c r="G990" s="4" t="s">
        <v>27</v>
      </c>
      <c r="H990" s="5">
        <v>55.16</v>
      </c>
      <c r="I990" s="4"/>
      <c r="J990" s="4">
        <f>SUMPRODUCT(--((A990=$A$3:$A$2785)*$H$3:$H$2785&gt;H990))+1</f>
        <v>58</v>
      </c>
    </row>
    <row r="991" s="1" customFormat="true" customHeight="true" spans="1:10">
      <c r="A991" s="4" t="str">
        <f t="shared" si="133"/>
        <v>020</v>
      </c>
      <c r="B991" s="4" t="s">
        <v>32</v>
      </c>
      <c r="C991" s="4" t="str">
        <f>"唐雪梅"</f>
        <v>唐雪梅</v>
      </c>
      <c r="D991" s="4" t="str">
        <f>"2021023528"</f>
        <v>2021023528</v>
      </c>
      <c r="E991" s="4" t="str">
        <f>"35"</f>
        <v>35</v>
      </c>
      <c r="F991" s="4" t="str">
        <f>"28"</f>
        <v>28</v>
      </c>
      <c r="G991" s="4" t="s">
        <v>27</v>
      </c>
      <c r="H991" s="5">
        <v>54.88</v>
      </c>
      <c r="I991" s="4"/>
      <c r="J991" s="4">
        <f>SUMPRODUCT(--((A991=$A$3:$A$2785)*$H$3:$H$2785&gt;H991))+1</f>
        <v>59</v>
      </c>
    </row>
    <row r="992" s="1" customFormat="true" customHeight="true" spans="1:10">
      <c r="A992" s="4" t="str">
        <f t="shared" si="133"/>
        <v>020</v>
      </c>
      <c r="B992" s="4" t="s">
        <v>32</v>
      </c>
      <c r="C992" s="4" t="str">
        <f>"易婉玲"</f>
        <v>易婉玲</v>
      </c>
      <c r="D992" s="4" t="str">
        <f>"2021023803"</f>
        <v>2021023803</v>
      </c>
      <c r="E992" s="4" t="str">
        <f t="shared" ref="E992:E996" si="144">"38"</f>
        <v>38</v>
      </c>
      <c r="F992" s="4" t="str">
        <f>"03"</f>
        <v>03</v>
      </c>
      <c r="G992" s="4" t="s">
        <v>27</v>
      </c>
      <c r="H992" s="5">
        <v>54.67</v>
      </c>
      <c r="I992" s="4"/>
      <c r="J992" s="4">
        <f>SUMPRODUCT(--((A992=$A$3:$A$2785)*$H$3:$H$2785&gt;H992))+1</f>
        <v>60</v>
      </c>
    </row>
    <row r="993" s="1" customFormat="true" customHeight="true" spans="1:10">
      <c r="A993" s="4" t="str">
        <f t="shared" si="133"/>
        <v>020</v>
      </c>
      <c r="B993" s="4" t="s">
        <v>32</v>
      </c>
      <c r="C993" s="4" t="str">
        <f>"刘婷"</f>
        <v>刘婷</v>
      </c>
      <c r="D993" s="4" t="str">
        <f>"2021024008"</f>
        <v>2021024008</v>
      </c>
      <c r="E993" s="4" t="str">
        <f>"40"</f>
        <v>40</v>
      </c>
      <c r="F993" s="4" t="str">
        <f>"08"</f>
        <v>08</v>
      </c>
      <c r="G993" s="4" t="s">
        <v>27</v>
      </c>
      <c r="H993" s="5">
        <v>54.57</v>
      </c>
      <c r="I993" s="4"/>
      <c r="J993" s="4">
        <f>SUMPRODUCT(--((A993=$A$3:$A$2785)*$H$3:$H$2785&gt;H993))+1</f>
        <v>61</v>
      </c>
    </row>
    <row r="994" s="1" customFormat="true" customHeight="true" spans="1:10">
      <c r="A994" s="4" t="str">
        <f t="shared" si="133"/>
        <v>020</v>
      </c>
      <c r="B994" s="4" t="s">
        <v>32</v>
      </c>
      <c r="C994" s="4" t="str">
        <f>"李金玲"</f>
        <v>李金玲</v>
      </c>
      <c r="D994" s="4" t="str">
        <f>"2021023827"</f>
        <v>2021023827</v>
      </c>
      <c r="E994" s="4" t="str">
        <f t="shared" si="144"/>
        <v>38</v>
      </c>
      <c r="F994" s="4" t="str">
        <f>"27"</f>
        <v>27</v>
      </c>
      <c r="G994" s="4" t="s">
        <v>27</v>
      </c>
      <c r="H994" s="5">
        <v>54.53</v>
      </c>
      <c r="I994" s="4"/>
      <c r="J994" s="4">
        <f>SUMPRODUCT(--((A994=$A$3:$A$2785)*$H$3:$H$2785&gt;H994))+1</f>
        <v>62</v>
      </c>
    </row>
    <row r="995" s="1" customFormat="true" customHeight="true" spans="1:10">
      <c r="A995" s="4" t="str">
        <f t="shared" si="133"/>
        <v>020</v>
      </c>
      <c r="B995" s="4" t="s">
        <v>32</v>
      </c>
      <c r="C995" s="4" t="str">
        <f>"孙梦徽"</f>
        <v>孙梦徽</v>
      </c>
      <c r="D995" s="4" t="str">
        <f>"2021023813"</f>
        <v>2021023813</v>
      </c>
      <c r="E995" s="4" t="str">
        <f t="shared" si="144"/>
        <v>38</v>
      </c>
      <c r="F995" s="4" t="str">
        <f>"13"</f>
        <v>13</v>
      </c>
      <c r="G995" s="4" t="s">
        <v>27</v>
      </c>
      <c r="H995" s="5">
        <v>54</v>
      </c>
      <c r="I995" s="4"/>
      <c r="J995" s="4">
        <f>SUMPRODUCT(--((A995=$A$3:$A$2785)*$H$3:$H$2785&gt;H995))+1</f>
        <v>63</v>
      </c>
    </row>
    <row r="996" s="1" customFormat="true" customHeight="true" spans="1:10">
      <c r="A996" s="4" t="str">
        <f t="shared" si="133"/>
        <v>020</v>
      </c>
      <c r="B996" s="4" t="s">
        <v>32</v>
      </c>
      <c r="C996" s="4" t="str">
        <f>"焦瑞"</f>
        <v>焦瑞</v>
      </c>
      <c r="D996" s="4" t="str">
        <f>"2021023810"</f>
        <v>2021023810</v>
      </c>
      <c r="E996" s="4" t="str">
        <f t="shared" si="144"/>
        <v>38</v>
      </c>
      <c r="F996" s="4" t="str">
        <f>"10"</f>
        <v>10</v>
      </c>
      <c r="G996" s="4" t="s">
        <v>27</v>
      </c>
      <c r="H996" s="5">
        <v>53.94</v>
      </c>
      <c r="I996" s="4"/>
      <c r="J996" s="4">
        <f>SUMPRODUCT(--((A996=$A$3:$A$2785)*$H$3:$H$2785&gt;H996))+1</f>
        <v>64</v>
      </c>
    </row>
    <row r="997" s="1" customFormat="true" customHeight="true" spans="1:10">
      <c r="A997" s="4" t="str">
        <f t="shared" ref="A997:A1060" si="145">"020"</f>
        <v>020</v>
      </c>
      <c r="B997" s="4" t="s">
        <v>32</v>
      </c>
      <c r="C997" s="4" t="str">
        <f>"明斯凡"</f>
        <v>明斯凡</v>
      </c>
      <c r="D997" s="4" t="str">
        <f>"2021023708"</f>
        <v>2021023708</v>
      </c>
      <c r="E997" s="4" t="str">
        <f>"37"</f>
        <v>37</v>
      </c>
      <c r="F997" s="4" t="str">
        <f>"08"</f>
        <v>08</v>
      </c>
      <c r="G997" s="4" t="s">
        <v>27</v>
      </c>
      <c r="H997" s="5">
        <v>53.11</v>
      </c>
      <c r="I997" s="4"/>
      <c r="J997" s="4">
        <f>SUMPRODUCT(--((A997=$A$3:$A$2785)*$H$3:$H$2785&gt;H997))+1</f>
        <v>65</v>
      </c>
    </row>
    <row r="998" s="1" customFormat="true" customHeight="true" spans="1:10">
      <c r="A998" s="4" t="str">
        <f t="shared" si="145"/>
        <v>020</v>
      </c>
      <c r="B998" s="4" t="s">
        <v>32</v>
      </c>
      <c r="C998" s="4" t="str">
        <f>"唐烨"</f>
        <v>唐烨</v>
      </c>
      <c r="D998" s="4" t="str">
        <f>"2021023523"</f>
        <v>2021023523</v>
      </c>
      <c r="E998" s="4" t="str">
        <f>"35"</f>
        <v>35</v>
      </c>
      <c r="F998" s="4" t="str">
        <f>"23"</f>
        <v>23</v>
      </c>
      <c r="G998" s="4" t="s">
        <v>27</v>
      </c>
      <c r="H998" s="5">
        <v>53.07</v>
      </c>
      <c r="I998" s="4"/>
      <c r="J998" s="4">
        <f>SUMPRODUCT(--((A998=$A$3:$A$2785)*$H$3:$H$2785&gt;H998))+1</f>
        <v>66</v>
      </c>
    </row>
    <row r="999" s="1" customFormat="true" customHeight="true" spans="1:10">
      <c r="A999" s="4" t="str">
        <f t="shared" si="145"/>
        <v>020</v>
      </c>
      <c r="B999" s="4" t="s">
        <v>32</v>
      </c>
      <c r="C999" s="4" t="str">
        <f>"肖时磊"</f>
        <v>肖时磊</v>
      </c>
      <c r="D999" s="4" t="str">
        <f>"2021023804"</f>
        <v>2021023804</v>
      </c>
      <c r="E999" s="4" t="str">
        <f t="shared" ref="E999:E1003" si="146">"38"</f>
        <v>38</v>
      </c>
      <c r="F999" s="4" t="str">
        <f>"04"</f>
        <v>04</v>
      </c>
      <c r="G999" s="4" t="s">
        <v>27</v>
      </c>
      <c r="H999" s="5">
        <v>53.03</v>
      </c>
      <c r="I999" s="4"/>
      <c r="J999" s="4">
        <f>SUMPRODUCT(--((A999=$A$3:$A$2785)*$H$3:$H$2785&gt;H999))+1</f>
        <v>67</v>
      </c>
    </row>
    <row r="1000" s="1" customFormat="true" customHeight="true" spans="1:10">
      <c r="A1000" s="4" t="str">
        <f t="shared" si="145"/>
        <v>020</v>
      </c>
      <c r="B1000" s="4" t="s">
        <v>32</v>
      </c>
      <c r="C1000" s="4" t="str">
        <f>"陈荟羽"</f>
        <v>陈荟羽</v>
      </c>
      <c r="D1000" s="4" t="str">
        <f>"2021023905"</f>
        <v>2021023905</v>
      </c>
      <c r="E1000" s="4" t="str">
        <f>"39"</f>
        <v>39</v>
      </c>
      <c r="F1000" s="4" t="str">
        <f>"05"</f>
        <v>05</v>
      </c>
      <c r="G1000" s="4" t="s">
        <v>27</v>
      </c>
      <c r="H1000" s="5">
        <v>52.89</v>
      </c>
      <c r="I1000" s="4"/>
      <c r="J1000" s="4">
        <f>SUMPRODUCT(--((A1000=$A$3:$A$2785)*$H$3:$H$2785&gt;H1000))+1</f>
        <v>68</v>
      </c>
    </row>
    <row r="1001" s="1" customFormat="true" customHeight="true" spans="1:10">
      <c r="A1001" s="4" t="str">
        <f t="shared" si="145"/>
        <v>020</v>
      </c>
      <c r="B1001" s="4" t="s">
        <v>32</v>
      </c>
      <c r="C1001" s="4" t="str">
        <f>"米莎"</f>
        <v>米莎</v>
      </c>
      <c r="D1001" s="4" t="str">
        <f>"2021023805"</f>
        <v>2021023805</v>
      </c>
      <c r="E1001" s="4" t="str">
        <f t="shared" si="146"/>
        <v>38</v>
      </c>
      <c r="F1001" s="4" t="str">
        <f>"05"</f>
        <v>05</v>
      </c>
      <c r="G1001" s="4" t="s">
        <v>27</v>
      </c>
      <c r="H1001" s="5">
        <v>52.88</v>
      </c>
      <c r="I1001" s="4"/>
      <c r="J1001" s="4">
        <f>SUMPRODUCT(--((A1001=$A$3:$A$2785)*$H$3:$H$2785&gt;H1001))+1</f>
        <v>69</v>
      </c>
    </row>
    <row r="1002" s="1" customFormat="true" customHeight="true" spans="1:10">
      <c r="A1002" s="4" t="str">
        <f t="shared" si="145"/>
        <v>020</v>
      </c>
      <c r="B1002" s="4" t="s">
        <v>32</v>
      </c>
      <c r="C1002" s="4" t="str">
        <f>"谌丽丽"</f>
        <v>谌丽丽</v>
      </c>
      <c r="D1002" s="4" t="str">
        <f>"2021023730"</f>
        <v>2021023730</v>
      </c>
      <c r="E1002" s="4" t="str">
        <f>"37"</f>
        <v>37</v>
      </c>
      <c r="F1002" s="4" t="str">
        <f>"30"</f>
        <v>30</v>
      </c>
      <c r="G1002" s="4" t="s">
        <v>27</v>
      </c>
      <c r="H1002" s="5">
        <v>52.8</v>
      </c>
      <c r="I1002" s="4"/>
      <c r="J1002" s="4">
        <f>SUMPRODUCT(--((A1002=$A$3:$A$2785)*$H$3:$H$2785&gt;H1002))+1</f>
        <v>70</v>
      </c>
    </row>
    <row r="1003" s="1" customFormat="true" customHeight="true" spans="1:10">
      <c r="A1003" s="4" t="str">
        <f t="shared" si="145"/>
        <v>020</v>
      </c>
      <c r="B1003" s="4" t="s">
        <v>32</v>
      </c>
      <c r="C1003" s="4" t="str">
        <f>"刘讯"</f>
        <v>刘讯</v>
      </c>
      <c r="D1003" s="4" t="str">
        <f>"2021023824"</f>
        <v>2021023824</v>
      </c>
      <c r="E1003" s="4" t="str">
        <f t="shared" si="146"/>
        <v>38</v>
      </c>
      <c r="F1003" s="4" t="str">
        <f>"24"</f>
        <v>24</v>
      </c>
      <c r="G1003" s="4" t="s">
        <v>27</v>
      </c>
      <c r="H1003" s="5">
        <v>51.98</v>
      </c>
      <c r="I1003" s="4"/>
      <c r="J1003" s="4">
        <f>SUMPRODUCT(--((A1003=$A$3:$A$2785)*$H$3:$H$2785&gt;H1003))+1</f>
        <v>71</v>
      </c>
    </row>
    <row r="1004" s="1" customFormat="true" customHeight="true" spans="1:10">
      <c r="A1004" s="4" t="str">
        <f t="shared" si="145"/>
        <v>020</v>
      </c>
      <c r="B1004" s="4" t="s">
        <v>32</v>
      </c>
      <c r="C1004" s="4" t="str">
        <f>"向小花"</f>
        <v>向小花</v>
      </c>
      <c r="D1004" s="4" t="str">
        <f>"2021023722"</f>
        <v>2021023722</v>
      </c>
      <c r="E1004" s="4" t="str">
        <f>"37"</f>
        <v>37</v>
      </c>
      <c r="F1004" s="4" t="str">
        <f>"22"</f>
        <v>22</v>
      </c>
      <c r="G1004" s="4" t="s">
        <v>27</v>
      </c>
      <c r="H1004" s="5">
        <v>51.59</v>
      </c>
      <c r="I1004" s="4"/>
      <c r="J1004" s="4">
        <f>SUMPRODUCT(--((A1004=$A$3:$A$2785)*$H$3:$H$2785&gt;H1004))+1</f>
        <v>72</v>
      </c>
    </row>
    <row r="1005" s="1" customFormat="true" customHeight="true" spans="1:10">
      <c r="A1005" s="4" t="str">
        <f t="shared" si="145"/>
        <v>020</v>
      </c>
      <c r="B1005" s="4" t="s">
        <v>32</v>
      </c>
      <c r="C1005" s="4" t="str">
        <f>"洪叶"</f>
        <v>洪叶</v>
      </c>
      <c r="D1005" s="4" t="str">
        <f>"2021023818"</f>
        <v>2021023818</v>
      </c>
      <c r="E1005" s="4" t="str">
        <f t="shared" ref="E1005:E1008" si="147">"38"</f>
        <v>38</v>
      </c>
      <c r="F1005" s="4" t="str">
        <f>"18"</f>
        <v>18</v>
      </c>
      <c r="G1005" s="4" t="s">
        <v>27</v>
      </c>
      <c r="H1005" s="5">
        <v>50.55</v>
      </c>
      <c r="I1005" s="4"/>
      <c r="J1005" s="4">
        <f>SUMPRODUCT(--((A1005=$A$3:$A$2785)*$H$3:$H$2785&gt;H1005))+1</f>
        <v>73</v>
      </c>
    </row>
    <row r="1006" s="1" customFormat="true" customHeight="true" spans="1:10">
      <c r="A1006" s="4" t="str">
        <f t="shared" si="145"/>
        <v>020</v>
      </c>
      <c r="B1006" s="4" t="s">
        <v>32</v>
      </c>
      <c r="C1006" s="4" t="str">
        <f>"肖珊"</f>
        <v>肖珊</v>
      </c>
      <c r="D1006" s="4" t="str">
        <f>"2021023516"</f>
        <v>2021023516</v>
      </c>
      <c r="E1006" s="4" t="str">
        <f>"35"</f>
        <v>35</v>
      </c>
      <c r="F1006" s="4" t="str">
        <f>"16"</f>
        <v>16</v>
      </c>
      <c r="G1006" s="4" t="s">
        <v>27</v>
      </c>
      <c r="H1006" s="5">
        <v>50.51</v>
      </c>
      <c r="I1006" s="4"/>
      <c r="J1006" s="4">
        <f>SUMPRODUCT(--((A1006=$A$3:$A$2785)*$H$3:$H$2785&gt;H1006))+1</f>
        <v>74</v>
      </c>
    </row>
    <row r="1007" s="1" customFormat="true" customHeight="true" spans="1:10">
      <c r="A1007" s="4" t="str">
        <f t="shared" si="145"/>
        <v>020</v>
      </c>
      <c r="B1007" s="4" t="s">
        <v>32</v>
      </c>
      <c r="C1007" s="4" t="str">
        <f>"肖悦"</f>
        <v>肖悦</v>
      </c>
      <c r="D1007" s="4" t="str">
        <f>"2021023821"</f>
        <v>2021023821</v>
      </c>
      <c r="E1007" s="4" t="str">
        <f t="shared" si="147"/>
        <v>38</v>
      </c>
      <c r="F1007" s="4" t="str">
        <f>"21"</f>
        <v>21</v>
      </c>
      <c r="G1007" s="4" t="s">
        <v>27</v>
      </c>
      <c r="H1007" s="5">
        <v>50.4</v>
      </c>
      <c r="I1007" s="4"/>
      <c r="J1007" s="4">
        <f>SUMPRODUCT(--((A1007=$A$3:$A$2785)*$H$3:$H$2785&gt;H1007))+1</f>
        <v>75</v>
      </c>
    </row>
    <row r="1008" s="1" customFormat="true" customHeight="true" spans="1:10">
      <c r="A1008" s="4" t="str">
        <f t="shared" si="145"/>
        <v>020</v>
      </c>
      <c r="B1008" s="4" t="s">
        <v>32</v>
      </c>
      <c r="C1008" s="4" t="str">
        <f>"吴俊歆"</f>
        <v>吴俊歆</v>
      </c>
      <c r="D1008" s="4" t="str">
        <f>"2021023812"</f>
        <v>2021023812</v>
      </c>
      <c r="E1008" s="4" t="str">
        <f t="shared" si="147"/>
        <v>38</v>
      </c>
      <c r="F1008" s="4" t="str">
        <f>"12"</f>
        <v>12</v>
      </c>
      <c r="G1008" s="4" t="s">
        <v>27</v>
      </c>
      <c r="H1008" s="5">
        <v>50.3</v>
      </c>
      <c r="I1008" s="4"/>
      <c r="J1008" s="4">
        <f>SUMPRODUCT(--((A1008=$A$3:$A$2785)*$H$3:$H$2785&gt;H1008))+1</f>
        <v>76</v>
      </c>
    </row>
    <row r="1009" s="1" customFormat="true" customHeight="true" spans="1:10">
      <c r="A1009" s="4" t="str">
        <f t="shared" si="145"/>
        <v>020</v>
      </c>
      <c r="B1009" s="4" t="s">
        <v>32</v>
      </c>
      <c r="C1009" s="4" t="str">
        <f>"唐诗彦"</f>
        <v>唐诗彦</v>
      </c>
      <c r="D1009" s="4" t="str">
        <f>"2021023619"</f>
        <v>2021023619</v>
      </c>
      <c r="E1009" s="4" t="str">
        <f>"36"</f>
        <v>36</v>
      </c>
      <c r="F1009" s="4" t="str">
        <f>"19"</f>
        <v>19</v>
      </c>
      <c r="G1009" s="4" t="s">
        <v>27</v>
      </c>
      <c r="H1009" s="5">
        <v>49.92</v>
      </c>
      <c r="I1009" s="4"/>
      <c r="J1009" s="4">
        <f>SUMPRODUCT(--((A1009=$A$3:$A$2785)*$H$3:$H$2785&gt;H1009))+1</f>
        <v>77</v>
      </c>
    </row>
    <row r="1010" s="1" customFormat="true" customHeight="true" spans="1:10">
      <c r="A1010" s="4" t="str">
        <f t="shared" si="145"/>
        <v>020</v>
      </c>
      <c r="B1010" s="4" t="s">
        <v>32</v>
      </c>
      <c r="C1010" s="4" t="str">
        <f>"苏梦瑶"</f>
        <v>苏梦瑶</v>
      </c>
      <c r="D1010" s="4" t="str">
        <f>"2021023829"</f>
        <v>2021023829</v>
      </c>
      <c r="E1010" s="4" t="str">
        <f t="shared" ref="E1010:E1013" si="148">"38"</f>
        <v>38</v>
      </c>
      <c r="F1010" s="4" t="str">
        <f>"29"</f>
        <v>29</v>
      </c>
      <c r="G1010" s="4" t="s">
        <v>27</v>
      </c>
      <c r="H1010" s="5">
        <v>49.87</v>
      </c>
      <c r="I1010" s="4"/>
      <c r="J1010" s="4">
        <f>SUMPRODUCT(--((A1010=$A$3:$A$2785)*$H$3:$H$2785&gt;H1010))+1</f>
        <v>78</v>
      </c>
    </row>
    <row r="1011" s="1" customFormat="true" customHeight="true" spans="1:10">
      <c r="A1011" s="4" t="str">
        <f t="shared" si="145"/>
        <v>020</v>
      </c>
      <c r="B1011" s="4" t="s">
        <v>32</v>
      </c>
      <c r="C1011" s="4" t="str">
        <f>"张静"</f>
        <v>张静</v>
      </c>
      <c r="D1011" s="4" t="str">
        <f>"2021023808"</f>
        <v>2021023808</v>
      </c>
      <c r="E1011" s="4" t="str">
        <f t="shared" si="148"/>
        <v>38</v>
      </c>
      <c r="F1011" s="4" t="str">
        <f>"08"</f>
        <v>08</v>
      </c>
      <c r="G1011" s="4" t="s">
        <v>27</v>
      </c>
      <c r="H1011" s="5">
        <v>49.69</v>
      </c>
      <c r="I1011" s="4"/>
      <c r="J1011" s="4">
        <f>SUMPRODUCT(--((A1011=$A$3:$A$2785)*$H$3:$H$2785&gt;H1011))+1</f>
        <v>79</v>
      </c>
    </row>
    <row r="1012" s="1" customFormat="true" customHeight="true" spans="1:10">
      <c r="A1012" s="4" t="str">
        <f t="shared" si="145"/>
        <v>020</v>
      </c>
      <c r="B1012" s="4" t="s">
        <v>32</v>
      </c>
      <c r="C1012" s="4" t="str">
        <f>"潘梦婷"</f>
        <v>潘梦婷</v>
      </c>
      <c r="D1012" s="4" t="str">
        <f>"2021023918"</f>
        <v>2021023918</v>
      </c>
      <c r="E1012" s="4" t="str">
        <f>"39"</f>
        <v>39</v>
      </c>
      <c r="F1012" s="4" t="str">
        <f>"18"</f>
        <v>18</v>
      </c>
      <c r="G1012" s="4" t="s">
        <v>27</v>
      </c>
      <c r="H1012" s="5">
        <v>49.26</v>
      </c>
      <c r="I1012" s="4"/>
      <c r="J1012" s="4">
        <f>SUMPRODUCT(--((A1012=$A$3:$A$2785)*$H$3:$H$2785&gt;H1012))+1</f>
        <v>80</v>
      </c>
    </row>
    <row r="1013" s="1" customFormat="true" customHeight="true" spans="1:10">
      <c r="A1013" s="4" t="str">
        <f t="shared" si="145"/>
        <v>020</v>
      </c>
      <c r="B1013" s="4" t="s">
        <v>32</v>
      </c>
      <c r="C1013" s="4" t="str">
        <f>"吴孟轩"</f>
        <v>吴孟轩</v>
      </c>
      <c r="D1013" s="4" t="str">
        <f>"2021023801"</f>
        <v>2021023801</v>
      </c>
      <c r="E1013" s="4" t="str">
        <f t="shared" si="148"/>
        <v>38</v>
      </c>
      <c r="F1013" s="4" t="str">
        <f>"01"</f>
        <v>01</v>
      </c>
      <c r="G1013" s="4" t="s">
        <v>27</v>
      </c>
      <c r="H1013" s="5">
        <v>48.97</v>
      </c>
      <c r="I1013" s="4"/>
      <c r="J1013" s="4">
        <f>SUMPRODUCT(--((A1013=$A$3:$A$2785)*$H$3:$H$2785&gt;H1013))+1</f>
        <v>81</v>
      </c>
    </row>
    <row r="1014" s="1" customFormat="true" customHeight="true" spans="1:10">
      <c r="A1014" s="4" t="str">
        <f t="shared" si="145"/>
        <v>020</v>
      </c>
      <c r="B1014" s="4" t="s">
        <v>32</v>
      </c>
      <c r="C1014" s="4" t="str">
        <f>"李珍珍"</f>
        <v>李珍珍</v>
      </c>
      <c r="D1014" s="4" t="str">
        <f>"2021023727"</f>
        <v>2021023727</v>
      </c>
      <c r="E1014" s="4" t="str">
        <f>"37"</f>
        <v>37</v>
      </c>
      <c r="F1014" s="4" t="str">
        <f>"27"</f>
        <v>27</v>
      </c>
      <c r="G1014" s="4" t="s">
        <v>27</v>
      </c>
      <c r="H1014" s="5">
        <v>48.88</v>
      </c>
      <c r="I1014" s="4"/>
      <c r="J1014" s="4">
        <f>SUMPRODUCT(--((A1014=$A$3:$A$2785)*$H$3:$H$2785&gt;H1014))+1</f>
        <v>82</v>
      </c>
    </row>
    <row r="1015" s="1" customFormat="true" customHeight="true" spans="1:10">
      <c r="A1015" s="4" t="str">
        <f t="shared" si="145"/>
        <v>020</v>
      </c>
      <c r="B1015" s="4" t="s">
        <v>32</v>
      </c>
      <c r="C1015" s="4" t="str">
        <f>"杨思颖"</f>
        <v>杨思颖</v>
      </c>
      <c r="D1015" s="4" t="str">
        <f>"2021023607"</f>
        <v>2021023607</v>
      </c>
      <c r="E1015" s="4" t="str">
        <f>"36"</f>
        <v>36</v>
      </c>
      <c r="F1015" s="4" t="str">
        <f>"07"</f>
        <v>07</v>
      </c>
      <c r="G1015" s="4" t="s">
        <v>27</v>
      </c>
      <c r="H1015" s="5">
        <v>48.29</v>
      </c>
      <c r="I1015" s="4"/>
      <c r="J1015" s="4">
        <f>SUMPRODUCT(--((A1015=$A$3:$A$2785)*$H$3:$H$2785&gt;H1015))+1</f>
        <v>83</v>
      </c>
    </row>
    <row r="1016" s="1" customFormat="true" customHeight="true" spans="1:10">
      <c r="A1016" s="4" t="str">
        <f t="shared" si="145"/>
        <v>020</v>
      </c>
      <c r="B1016" s="4" t="s">
        <v>32</v>
      </c>
      <c r="C1016" s="4" t="str">
        <f>"何薇"</f>
        <v>何薇</v>
      </c>
      <c r="D1016" s="4" t="str">
        <f>"2021023910"</f>
        <v>2021023910</v>
      </c>
      <c r="E1016" s="4" t="str">
        <f>"39"</f>
        <v>39</v>
      </c>
      <c r="F1016" s="4" t="str">
        <f>"10"</f>
        <v>10</v>
      </c>
      <c r="G1016" s="4" t="s">
        <v>27</v>
      </c>
      <c r="H1016" s="5">
        <v>47.9</v>
      </c>
      <c r="I1016" s="4"/>
      <c r="J1016" s="4">
        <f>SUMPRODUCT(--((A1016=$A$3:$A$2785)*$H$3:$H$2785&gt;H1016))+1</f>
        <v>84</v>
      </c>
    </row>
    <row r="1017" s="1" customFormat="true" customHeight="true" spans="1:10">
      <c r="A1017" s="4" t="str">
        <f t="shared" si="145"/>
        <v>020</v>
      </c>
      <c r="B1017" s="4" t="s">
        <v>32</v>
      </c>
      <c r="C1017" s="4" t="str">
        <f>"张璐"</f>
        <v>张璐</v>
      </c>
      <c r="D1017" s="4" t="str">
        <f>"2021023704"</f>
        <v>2021023704</v>
      </c>
      <c r="E1017" s="4" t="str">
        <f>"37"</f>
        <v>37</v>
      </c>
      <c r="F1017" s="4" t="str">
        <f>"04"</f>
        <v>04</v>
      </c>
      <c r="G1017" s="4" t="s">
        <v>27</v>
      </c>
      <c r="H1017" s="5">
        <v>46.96</v>
      </c>
      <c r="I1017" s="4"/>
      <c r="J1017" s="4">
        <f>SUMPRODUCT(--((A1017=$A$3:$A$2785)*$H$3:$H$2785&gt;H1017))+1</f>
        <v>85</v>
      </c>
    </row>
    <row r="1018" s="1" customFormat="true" customHeight="true" spans="1:10">
      <c r="A1018" s="4" t="str">
        <f t="shared" si="145"/>
        <v>020</v>
      </c>
      <c r="B1018" s="4" t="s">
        <v>32</v>
      </c>
      <c r="C1018" s="4" t="str">
        <f>"周瑞茜"</f>
        <v>周瑞茜</v>
      </c>
      <c r="D1018" s="4" t="str">
        <f>"2021023522"</f>
        <v>2021023522</v>
      </c>
      <c r="E1018" s="4" t="str">
        <f>"35"</f>
        <v>35</v>
      </c>
      <c r="F1018" s="4" t="str">
        <f>"22"</f>
        <v>22</v>
      </c>
      <c r="G1018" s="4" t="s">
        <v>27</v>
      </c>
      <c r="H1018" s="5">
        <v>45.53</v>
      </c>
      <c r="I1018" s="4"/>
      <c r="J1018" s="4">
        <f>SUMPRODUCT(--((A1018=$A$3:$A$2785)*$H$3:$H$2785&gt;H1018))+1</f>
        <v>86</v>
      </c>
    </row>
    <row r="1019" s="1" customFormat="true" customHeight="true" spans="1:10">
      <c r="A1019" s="4" t="str">
        <f t="shared" si="145"/>
        <v>020</v>
      </c>
      <c r="B1019" s="4" t="s">
        <v>32</v>
      </c>
      <c r="C1019" s="4" t="str">
        <f>"张婉婷"</f>
        <v>张婉婷</v>
      </c>
      <c r="D1019" s="4" t="str">
        <f>"2021023902"</f>
        <v>2021023902</v>
      </c>
      <c r="E1019" s="4" t="str">
        <f t="shared" ref="E1019:E1024" si="149">"39"</f>
        <v>39</v>
      </c>
      <c r="F1019" s="4" t="str">
        <f>"02"</f>
        <v>02</v>
      </c>
      <c r="G1019" s="4" t="s">
        <v>27</v>
      </c>
      <c r="H1019" s="5">
        <v>45.2</v>
      </c>
      <c r="I1019" s="4"/>
      <c r="J1019" s="4">
        <f>SUMPRODUCT(--((A1019=$A$3:$A$2785)*$H$3:$H$2785&gt;H1019))+1</f>
        <v>87</v>
      </c>
    </row>
    <row r="1020" s="1" customFormat="true" customHeight="true" spans="1:10">
      <c r="A1020" s="4" t="str">
        <f t="shared" si="145"/>
        <v>020</v>
      </c>
      <c r="B1020" s="4" t="s">
        <v>32</v>
      </c>
      <c r="C1020" s="4" t="str">
        <f>"陆鹏早"</f>
        <v>陆鹏早</v>
      </c>
      <c r="D1020" s="4" t="str">
        <f>"2021023720"</f>
        <v>2021023720</v>
      </c>
      <c r="E1020" s="4" t="str">
        <f>"37"</f>
        <v>37</v>
      </c>
      <c r="F1020" s="4" t="str">
        <f>"20"</f>
        <v>20</v>
      </c>
      <c r="G1020" s="4" t="s">
        <v>27</v>
      </c>
      <c r="H1020" s="5">
        <v>43.82</v>
      </c>
      <c r="I1020" s="4"/>
      <c r="J1020" s="4">
        <f>SUMPRODUCT(--((A1020=$A$3:$A$2785)*$H$3:$H$2785&gt;H1020))+1</f>
        <v>88</v>
      </c>
    </row>
    <row r="1021" s="1" customFormat="true" customHeight="true" spans="1:10">
      <c r="A1021" s="4" t="str">
        <f t="shared" si="145"/>
        <v>020</v>
      </c>
      <c r="B1021" s="4" t="s">
        <v>32</v>
      </c>
      <c r="C1021" s="4" t="str">
        <f>"曾维晴"</f>
        <v>曾维晴</v>
      </c>
      <c r="D1021" s="4" t="str">
        <f>"2021023807"</f>
        <v>2021023807</v>
      </c>
      <c r="E1021" s="4" t="str">
        <f>"38"</f>
        <v>38</v>
      </c>
      <c r="F1021" s="4" t="str">
        <f>"07"</f>
        <v>07</v>
      </c>
      <c r="G1021" s="4" t="s">
        <v>27</v>
      </c>
      <c r="H1021" s="5">
        <v>43.7</v>
      </c>
      <c r="I1021" s="4"/>
      <c r="J1021" s="4">
        <f>SUMPRODUCT(--((A1021=$A$3:$A$2785)*$H$3:$H$2785&gt;H1021))+1</f>
        <v>89</v>
      </c>
    </row>
    <row r="1022" s="1" customFormat="true" customHeight="true" spans="1:10">
      <c r="A1022" s="4" t="str">
        <f t="shared" si="145"/>
        <v>020</v>
      </c>
      <c r="B1022" s="4" t="s">
        <v>32</v>
      </c>
      <c r="C1022" s="4" t="str">
        <f>"曾妮"</f>
        <v>曾妮</v>
      </c>
      <c r="D1022" s="4" t="str">
        <f>"2021023929"</f>
        <v>2021023929</v>
      </c>
      <c r="E1022" s="4" t="str">
        <f t="shared" si="149"/>
        <v>39</v>
      </c>
      <c r="F1022" s="4" t="str">
        <f>"29"</f>
        <v>29</v>
      </c>
      <c r="G1022" s="4" t="s">
        <v>27</v>
      </c>
      <c r="H1022" s="5">
        <v>43.03</v>
      </c>
      <c r="I1022" s="4"/>
      <c r="J1022" s="4">
        <f>SUMPRODUCT(--((A1022=$A$3:$A$2785)*$H$3:$H$2785&gt;H1022))+1</f>
        <v>90</v>
      </c>
    </row>
    <row r="1023" s="1" customFormat="true" customHeight="true" spans="1:10">
      <c r="A1023" s="4" t="str">
        <f t="shared" si="145"/>
        <v>020</v>
      </c>
      <c r="B1023" s="4" t="s">
        <v>32</v>
      </c>
      <c r="C1023" s="4" t="str">
        <f>"尹棋棋"</f>
        <v>尹棋棋</v>
      </c>
      <c r="D1023" s="4" t="str">
        <f>"2021023903"</f>
        <v>2021023903</v>
      </c>
      <c r="E1023" s="4" t="str">
        <f t="shared" si="149"/>
        <v>39</v>
      </c>
      <c r="F1023" s="4" t="str">
        <f>"03"</f>
        <v>03</v>
      </c>
      <c r="G1023" s="4" t="s">
        <v>27</v>
      </c>
      <c r="H1023" s="5">
        <v>42.53</v>
      </c>
      <c r="I1023" s="4"/>
      <c r="J1023" s="4">
        <f>SUMPRODUCT(--((A1023=$A$3:$A$2785)*$H$3:$H$2785&gt;H1023))+1</f>
        <v>91</v>
      </c>
    </row>
    <row r="1024" s="1" customFormat="true" customHeight="true" spans="1:10">
      <c r="A1024" s="4" t="str">
        <f t="shared" si="145"/>
        <v>020</v>
      </c>
      <c r="B1024" s="4" t="s">
        <v>32</v>
      </c>
      <c r="C1024" s="4" t="str">
        <f>"乔思玙"</f>
        <v>乔思玙</v>
      </c>
      <c r="D1024" s="4" t="str">
        <f>"2021023906"</f>
        <v>2021023906</v>
      </c>
      <c r="E1024" s="4" t="str">
        <f t="shared" si="149"/>
        <v>39</v>
      </c>
      <c r="F1024" s="4" t="str">
        <f>"06"</f>
        <v>06</v>
      </c>
      <c r="G1024" s="4" t="s">
        <v>27</v>
      </c>
      <c r="H1024" s="5">
        <v>42.32</v>
      </c>
      <c r="I1024" s="4"/>
      <c r="J1024" s="4">
        <f>SUMPRODUCT(--((A1024=$A$3:$A$2785)*$H$3:$H$2785&gt;H1024))+1</f>
        <v>92</v>
      </c>
    </row>
    <row r="1025" s="1" customFormat="true" customHeight="true" spans="1:10">
      <c r="A1025" s="4" t="str">
        <f t="shared" si="145"/>
        <v>020</v>
      </c>
      <c r="B1025" s="4" t="s">
        <v>32</v>
      </c>
      <c r="C1025" s="4" t="str">
        <f>"郑馨怡"</f>
        <v>郑馨怡</v>
      </c>
      <c r="D1025" s="4" t="str">
        <f>"2021023705"</f>
        <v>2021023705</v>
      </c>
      <c r="E1025" s="4" t="str">
        <f>"37"</f>
        <v>37</v>
      </c>
      <c r="F1025" s="4" t="str">
        <f>"05"</f>
        <v>05</v>
      </c>
      <c r="G1025" s="4" t="s">
        <v>27</v>
      </c>
      <c r="H1025" s="5">
        <v>41.66</v>
      </c>
      <c r="I1025" s="4"/>
      <c r="J1025" s="4">
        <f>SUMPRODUCT(--((A1025=$A$3:$A$2785)*$H$3:$H$2785&gt;H1025))+1</f>
        <v>93</v>
      </c>
    </row>
    <row r="1026" s="1" customFormat="true" customHeight="true" spans="1:10">
      <c r="A1026" s="4" t="str">
        <f t="shared" si="145"/>
        <v>020</v>
      </c>
      <c r="B1026" s="4" t="s">
        <v>32</v>
      </c>
      <c r="C1026" s="4" t="str">
        <f>"李佳琪"</f>
        <v>李佳琪</v>
      </c>
      <c r="D1026" s="4" t="str">
        <f>"2021024003"</f>
        <v>2021024003</v>
      </c>
      <c r="E1026" s="4" t="str">
        <f>"40"</f>
        <v>40</v>
      </c>
      <c r="F1026" s="4" t="str">
        <f>"03"</f>
        <v>03</v>
      </c>
      <c r="G1026" s="4" t="s">
        <v>27</v>
      </c>
      <c r="H1026" s="5">
        <v>41.63</v>
      </c>
      <c r="I1026" s="4"/>
      <c r="J1026" s="4">
        <f>SUMPRODUCT(--((A1026=$A$3:$A$2785)*$H$3:$H$2785&gt;H1026))+1</f>
        <v>94</v>
      </c>
    </row>
    <row r="1027" s="1" customFormat="true" customHeight="true" spans="1:10">
      <c r="A1027" s="4" t="str">
        <f t="shared" si="145"/>
        <v>020</v>
      </c>
      <c r="B1027" s="4" t="s">
        <v>32</v>
      </c>
      <c r="C1027" s="4" t="str">
        <f>"何致薇"</f>
        <v>何致薇</v>
      </c>
      <c r="D1027" s="4" t="str">
        <f>"2021023616"</f>
        <v>2021023616</v>
      </c>
      <c r="E1027" s="4" t="str">
        <f>"36"</f>
        <v>36</v>
      </c>
      <c r="F1027" s="4" t="str">
        <f>"16"</f>
        <v>16</v>
      </c>
      <c r="G1027" s="4" t="s">
        <v>27</v>
      </c>
      <c r="H1027" s="5">
        <v>39.84</v>
      </c>
      <c r="I1027" s="4"/>
      <c r="J1027" s="4">
        <f>SUMPRODUCT(--((A1027=$A$3:$A$2785)*$H$3:$H$2785&gt;H1027))+1</f>
        <v>95</v>
      </c>
    </row>
    <row r="1028" s="1" customFormat="true" customHeight="true" spans="1:10">
      <c r="A1028" s="4" t="str">
        <f t="shared" si="145"/>
        <v>020</v>
      </c>
      <c r="B1028" s="4" t="s">
        <v>32</v>
      </c>
      <c r="C1028" s="4" t="str">
        <f>"杨平"</f>
        <v>杨平</v>
      </c>
      <c r="D1028" s="4" t="str">
        <f>"2021023822"</f>
        <v>2021023822</v>
      </c>
      <c r="E1028" s="4" t="str">
        <f t="shared" ref="E1028:E1031" si="150">"38"</f>
        <v>38</v>
      </c>
      <c r="F1028" s="4" t="str">
        <f>"22"</f>
        <v>22</v>
      </c>
      <c r="G1028" s="4" t="s">
        <v>27</v>
      </c>
      <c r="H1028" s="5">
        <v>39.36</v>
      </c>
      <c r="I1028" s="4"/>
      <c r="J1028" s="4">
        <f>SUMPRODUCT(--((A1028=$A$3:$A$2785)*$H$3:$H$2785&gt;H1028))+1</f>
        <v>96</v>
      </c>
    </row>
    <row r="1029" s="1" customFormat="true" customHeight="true" spans="1:10">
      <c r="A1029" s="4" t="str">
        <f t="shared" si="145"/>
        <v>020</v>
      </c>
      <c r="B1029" s="4" t="s">
        <v>32</v>
      </c>
      <c r="C1029" s="4" t="str">
        <f>"舒宁"</f>
        <v>舒宁</v>
      </c>
      <c r="D1029" s="4" t="str">
        <f>"2021023828"</f>
        <v>2021023828</v>
      </c>
      <c r="E1029" s="4" t="str">
        <f t="shared" si="150"/>
        <v>38</v>
      </c>
      <c r="F1029" s="4" t="str">
        <f>"28"</f>
        <v>28</v>
      </c>
      <c r="G1029" s="4" t="s">
        <v>27</v>
      </c>
      <c r="H1029" s="5">
        <v>39.01</v>
      </c>
      <c r="I1029" s="4"/>
      <c r="J1029" s="4">
        <f>SUMPRODUCT(--((A1029=$A$3:$A$2785)*$H$3:$H$2785&gt;H1029))+1</f>
        <v>97</v>
      </c>
    </row>
    <row r="1030" s="1" customFormat="true" customHeight="true" spans="1:10">
      <c r="A1030" s="4" t="str">
        <f t="shared" si="145"/>
        <v>020</v>
      </c>
      <c r="B1030" s="4" t="s">
        <v>32</v>
      </c>
      <c r="C1030" s="4" t="str">
        <f>"王春晖"</f>
        <v>王春晖</v>
      </c>
      <c r="D1030" s="4" t="str">
        <f>"2021023724"</f>
        <v>2021023724</v>
      </c>
      <c r="E1030" s="4" t="str">
        <f>"37"</f>
        <v>37</v>
      </c>
      <c r="F1030" s="4" t="str">
        <f>"24"</f>
        <v>24</v>
      </c>
      <c r="G1030" s="4" t="s">
        <v>27</v>
      </c>
      <c r="H1030" s="5">
        <v>37.45</v>
      </c>
      <c r="I1030" s="4"/>
      <c r="J1030" s="4">
        <f>SUMPRODUCT(--((A1030=$A$3:$A$2785)*$H$3:$H$2785&gt;H1030))+1</f>
        <v>98</v>
      </c>
    </row>
    <row r="1031" s="1" customFormat="true" customHeight="true" spans="1:10">
      <c r="A1031" s="4" t="str">
        <f t="shared" si="145"/>
        <v>020</v>
      </c>
      <c r="B1031" s="4" t="s">
        <v>32</v>
      </c>
      <c r="C1031" s="4" t="str">
        <f>"张少亚男"</f>
        <v>张少亚男</v>
      </c>
      <c r="D1031" s="4" t="str">
        <f>"2021023809"</f>
        <v>2021023809</v>
      </c>
      <c r="E1031" s="4" t="str">
        <f t="shared" si="150"/>
        <v>38</v>
      </c>
      <c r="F1031" s="4" t="str">
        <f>"09"</f>
        <v>09</v>
      </c>
      <c r="G1031" s="4" t="s">
        <v>27</v>
      </c>
      <c r="H1031" s="5">
        <v>35.4</v>
      </c>
      <c r="I1031" s="4"/>
      <c r="J1031" s="4">
        <f>SUMPRODUCT(--((A1031=$A$3:$A$2785)*$H$3:$H$2785&gt;H1031))+1</f>
        <v>99</v>
      </c>
    </row>
    <row r="1032" s="1" customFormat="true" customHeight="true" spans="1:10">
      <c r="A1032" s="4" t="str">
        <f t="shared" si="145"/>
        <v>020</v>
      </c>
      <c r="B1032" s="4" t="s">
        <v>32</v>
      </c>
      <c r="C1032" s="4" t="str">
        <f>"王阿缘"</f>
        <v>王阿缘</v>
      </c>
      <c r="D1032" s="4" t="str">
        <f>"2021023514"</f>
        <v>2021023514</v>
      </c>
      <c r="E1032" s="4" t="str">
        <f>"35"</f>
        <v>35</v>
      </c>
      <c r="F1032" s="4" t="str">
        <f>"14"</f>
        <v>14</v>
      </c>
      <c r="G1032" s="4" t="s">
        <v>27</v>
      </c>
      <c r="H1032" s="5">
        <v>0</v>
      </c>
      <c r="I1032" s="6" t="s">
        <v>13</v>
      </c>
      <c r="J1032" s="4">
        <f>SUMPRODUCT(--((A1032=$A$3:$A$2785)*$H$3:$H$2785&gt;H1032))+1</f>
        <v>100</v>
      </c>
    </row>
    <row r="1033" s="1" customFormat="true" customHeight="true" spans="1:10">
      <c r="A1033" s="4" t="str">
        <f t="shared" si="145"/>
        <v>020</v>
      </c>
      <c r="B1033" s="4" t="s">
        <v>32</v>
      </c>
      <c r="C1033" s="4" t="str">
        <f>"唐林菊"</f>
        <v>唐林菊</v>
      </c>
      <c r="D1033" s="4" t="str">
        <f>"2021023524"</f>
        <v>2021023524</v>
      </c>
      <c r="E1033" s="4" t="str">
        <f>"35"</f>
        <v>35</v>
      </c>
      <c r="F1033" s="4" t="str">
        <f>"24"</f>
        <v>24</v>
      </c>
      <c r="G1033" s="4" t="s">
        <v>27</v>
      </c>
      <c r="H1033" s="5">
        <v>0</v>
      </c>
      <c r="I1033" s="6" t="s">
        <v>13</v>
      </c>
      <c r="J1033" s="4">
        <f>SUMPRODUCT(--((A1033=$A$3:$A$2785)*$H$3:$H$2785&gt;H1033))+1</f>
        <v>100</v>
      </c>
    </row>
    <row r="1034" s="1" customFormat="true" customHeight="true" spans="1:10">
      <c r="A1034" s="4" t="str">
        <f t="shared" si="145"/>
        <v>020</v>
      </c>
      <c r="B1034" s="4" t="s">
        <v>32</v>
      </c>
      <c r="C1034" s="4" t="str">
        <f>"于晗书"</f>
        <v>于晗书</v>
      </c>
      <c r="D1034" s="4" t="str">
        <f>"2021023604"</f>
        <v>2021023604</v>
      </c>
      <c r="E1034" s="4" t="str">
        <f t="shared" ref="E1034:E1043" si="151">"36"</f>
        <v>36</v>
      </c>
      <c r="F1034" s="4" t="str">
        <f>"04"</f>
        <v>04</v>
      </c>
      <c r="G1034" s="4" t="s">
        <v>27</v>
      </c>
      <c r="H1034" s="5">
        <v>0</v>
      </c>
      <c r="I1034" s="6" t="s">
        <v>13</v>
      </c>
      <c r="J1034" s="4">
        <f>SUMPRODUCT(--((A1034=$A$3:$A$2785)*$H$3:$H$2785&gt;H1034))+1</f>
        <v>100</v>
      </c>
    </row>
    <row r="1035" s="1" customFormat="true" customHeight="true" spans="1:10">
      <c r="A1035" s="4" t="str">
        <f t="shared" si="145"/>
        <v>020</v>
      </c>
      <c r="B1035" s="4" t="s">
        <v>32</v>
      </c>
      <c r="C1035" s="4" t="str">
        <f>"王来"</f>
        <v>王来</v>
      </c>
      <c r="D1035" s="4" t="str">
        <f>"2021023606"</f>
        <v>2021023606</v>
      </c>
      <c r="E1035" s="4" t="str">
        <f t="shared" si="151"/>
        <v>36</v>
      </c>
      <c r="F1035" s="4" t="str">
        <f>"06"</f>
        <v>06</v>
      </c>
      <c r="G1035" s="4" t="s">
        <v>27</v>
      </c>
      <c r="H1035" s="5">
        <v>0</v>
      </c>
      <c r="I1035" s="6" t="s">
        <v>13</v>
      </c>
      <c r="J1035" s="4">
        <f>SUMPRODUCT(--((A1035=$A$3:$A$2785)*$H$3:$H$2785&gt;H1035))+1</f>
        <v>100</v>
      </c>
    </row>
    <row r="1036" s="1" customFormat="true" customHeight="true" spans="1:10">
      <c r="A1036" s="4" t="str">
        <f t="shared" si="145"/>
        <v>020</v>
      </c>
      <c r="B1036" s="4" t="s">
        <v>32</v>
      </c>
      <c r="C1036" s="4" t="str">
        <f>"谭冰洁"</f>
        <v>谭冰洁</v>
      </c>
      <c r="D1036" s="4" t="str">
        <f>"2021023608"</f>
        <v>2021023608</v>
      </c>
      <c r="E1036" s="4" t="str">
        <f t="shared" si="151"/>
        <v>36</v>
      </c>
      <c r="F1036" s="4" t="str">
        <f>"08"</f>
        <v>08</v>
      </c>
      <c r="G1036" s="4" t="s">
        <v>27</v>
      </c>
      <c r="H1036" s="5">
        <v>0</v>
      </c>
      <c r="I1036" s="6" t="s">
        <v>13</v>
      </c>
      <c r="J1036" s="4">
        <f>SUMPRODUCT(--((A1036=$A$3:$A$2785)*$H$3:$H$2785&gt;H1036))+1</f>
        <v>100</v>
      </c>
    </row>
    <row r="1037" s="1" customFormat="true" customHeight="true" spans="1:10">
      <c r="A1037" s="4" t="str">
        <f t="shared" si="145"/>
        <v>020</v>
      </c>
      <c r="B1037" s="4" t="s">
        <v>32</v>
      </c>
      <c r="C1037" s="4" t="str">
        <f>"李子鑫"</f>
        <v>李子鑫</v>
      </c>
      <c r="D1037" s="4" t="str">
        <f>"2021023612"</f>
        <v>2021023612</v>
      </c>
      <c r="E1037" s="4" t="str">
        <f t="shared" si="151"/>
        <v>36</v>
      </c>
      <c r="F1037" s="4" t="str">
        <f>"12"</f>
        <v>12</v>
      </c>
      <c r="G1037" s="4" t="s">
        <v>27</v>
      </c>
      <c r="H1037" s="5">
        <v>0</v>
      </c>
      <c r="I1037" s="6" t="s">
        <v>13</v>
      </c>
      <c r="J1037" s="4">
        <f>SUMPRODUCT(--((A1037=$A$3:$A$2785)*$H$3:$H$2785&gt;H1037))+1</f>
        <v>100</v>
      </c>
    </row>
    <row r="1038" s="1" customFormat="true" customHeight="true" spans="1:10">
      <c r="A1038" s="4" t="str">
        <f t="shared" si="145"/>
        <v>020</v>
      </c>
      <c r="B1038" s="4" t="s">
        <v>32</v>
      </c>
      <c r="C1038" s="4" t="str">
        <f>"张馨匀"</f>
        <v>张馨匀</v>
      </c>
      <c r="D1038" s="4" t="str">
        <f>"2021023614"</f>
        <v>2021023614</v>
      </c>
      <c r="E1038" s="4" t="str">
        <f t="shared" si="151"/>
        <v>36</v>
      </c>
      <c r="F1038" s="4" t="str">
        <f>"14"</f>
        <v>14</v>
      </c>
      <c r="G1038" s="4" t="s">
        <v>27</v>
      </c>
      <c r="H1038" s="5">
        <v>0</v>
      </c>
      <c r="I1038" s="6" t="s">
        <v>13</v>
      </c>
      <c r="J1038" s="4">
        <f>SUMPRODUCT(--((A1038=$A$3:$A$2785)*$H$3:$H$2785&gt;H1038))+1</f>
        <v>100</v>
      </c>
    </row>
    <row r="1039" s="1" customFormat="true" customHeight="true" spans="1:10">
      <c r="A1039" s="4" t="str">
        <f t="shared" si="145"/>
        <v>020</v>
      </c>
      <c r="B1039" s="4" t="s">
        <v>32</v>
      </c>
      <c r="C1039" s="4" t="str">
        <f>"贺午豪"</f>
        <v>贺午豪</v>
      </c>
      <c r="D1039" s="4" t="str">
        <f>"2021023615"</f>
        <v>2021023615</v>
      </c>
      <c r="E1039" s="4" t="str">
        <f t="shared" si="151"/>
        <v>36</v>
      </c>
      <c r="F1039" s="4" t="str">
        <f>"15"</f>
        <v>15</v>
      </c>
      <c r="G1039" s="4" t="s">
        <v>27</v>
      </c>
      <c r="H1039" s="5">
        <v>0</v>
      </c>
      <c r="I1039" s="6" t="s">
        <v>13</v>
      </c>
      <c r="J1039" s="4">
        <f>SUMPRODUCT(--((A1039=$A$3:$A$2785)*$H$3:$H$2785&gt;H1039))+1</f>
        <v>100</v>
      </c>
    </row>
    <row r="1040" s="1" customFormat="true" customHeight="true" spans="1:10">
      <c r="A1040" s="4" t="str">
        <f t="shared" si="145"/>
        <v>020</v>
      </c>
      <c r="B1040" s="4" t="s">
        <v>32</v>
      </c>
      <c r="C1040" s="4" t="str">
        <f>"樊昌姣"</f>
        <v>樊昌姣</v>
      </c>
      <c r="D1040" s="4" t="str">
        <f>"2021023618"</f>
        <v>2021023618</v>
      </c>
      <c r="E1040" s="4" t="str">
        <f t="shared" si="151"/>
        <v>36</v>
      </c>
      <c r="F1040" s="4" t="str">
        <f>"18"</f>
        <v>18</v>
      </c>
      <c r="G1040" s="4" t="s">
        <v>27</v>
      </c>
      <c r="H1040" s="5">
        <v>0</v>
      </c>
      <c r="I1040" s="6" t="s">
        <v>13</v>
      </c>
      <c r="J1040" s="4">
        <f>SUMPRODUCT(--((A1040=$A$3:$A$2785)*$H$3:$H$2785&gt;H1040))+1</f>
        <v>100</v>
      </c>
    </row>
    <row r="1041" s="1" customFormat="true" customHeight="true" spans="1:10">
      <c r="A1041" s="4" t="str">
        <f t="shared" si="145"/>
        <v>020</v>
      </c>
      <c r="B1041" s="4" t="s">
        <v>32</v>
      </c>
      <c r="C1041" s="4" t="str">
        <f>"刘俊亚"</f>
        <v>刘俊亚</v>
      </c>
      <c r="D1041" s="4" t="str">
        <f>"2021023622"</f>
        <v>2021023622</v>
      </c>
      <c r="E1041" s="4" t="str">
        <f t="shared" si="151"/>
        <v>36</v>
      </c>
      <c r="F1041" s="4" t="str">
        <f>"22"</f>
        <v>22</v>
      </c>
      <c r="G1041" s="4" t="s">
        <v>27</v>
      </c>
      <c r="H1041" s="5">
        <v>0</v>
      </c>
      <c r="I1041" s="6" t="s">
        <v>13</v>
      </c>
      <c r="J1041" s="4">
        <f>SUMPRODUCT(--((A1041=$A$3:$A$2785)*$H$3:$H$2785&gt;H1041))+1</f>
        <v>100</v>
      </c>
    </row>
    <row r="1042" s="1" customFormat="true" customHeight="true" spans="1:10">
      <c r="A1042" s="4" t="str">
        <f t="shared" si="145"/>
        <v>020</v>
      </c>
      <c r="B1042" s="4" t="s">
        <v>32</v>
      </c>
      <c r="C1042" s="4" t="str">
        <f>"粟进进"</f>
        <v>粟进进</v>
      </c>
      <c r="D1042" s="4" t="str">
        <f>"2021023627"</f>
        <v>2021023627</v>
      </c>
      <c r="E1042" s="4" t="str">
        <f t="shared" si="151"/>
        <v>36</v>
      </c>
      <c r="F1042" s="4" t="str">
        <f>"27"</f>
        <v>27</v>
      </c>
      <c r="G1042" s="4" t="s">
        <v>27</v>
      </c>
      <c r="H1042" s="5">
        <v>0</v>
      </c>
      <c r="I1042" s="6" t="s">
        <v>13</v>
      </c>
      <c r="J1042" s="4">
        <f>SUMPRODUCT(--((A1042=$A$3:$A$2785)*$H$3:$H$2785&gt;H1042))+1</f>
        <v>100</v>
      </c>
    </row>
    <row r="1043" s="1" customFormat="true" customHeight="true" spans="1:10">
      <c r="A1043" s="4" t="str">
        <f t="shared" si="145"/>
        <v>020</v>
      </c>
      <c r="B1043" s="4" t="s">
        <v>32</v>
      </c>
      <c r="C1043" s="4" t="str">
        <f>"左纯"</f>
        <v>左纯</v>
      </c>
      <c r="D1043" s="4" t="str">
        <f>"2021023630"</f>
        <v>2021023630</v>
      </c>
      <c r="E1043" s="4" t="str">
        <f t="shared" si="151"/>
        <v>36</v>
      </c>
      <c r="F1043" s="4" t="str">
        <f>"30"</f>
        <v>30</v>
      </c>
      <c r="G1043" s="4" t="s">
        <v>27</v>
      </c>
      <c r="H1043" s="5">
        <v>0</v>
      </c>
      <c r="I1043" s="6" t="s">
        <v>13</v>
      </c>
      <c r="J1043" s="4">
        <f>SUMPRODUCT(--((A1043=$A$3:$A$2785)*$H$3:$H$2785&gt;H1043))+1</f>
        <v>100</v>
      </c>
    </row>
    <row r="1044" s="1" customFormat="true" customHeight="true" spans="1:10">
      <c r="A1044" s="4" t="str">
        <f t="shared" si="145"/>
        <v>020</v>
      </c>
      <c r="B1044" s="4" t="s">
        <v>32</v>
      </c>
      <c r="C1044" s="4" t="str">
        <f>"龙艳香"</f>
        <v>龙艳香</v>
      </c>
      <c r="D1044" s="4" t="str">
        <f>"2021023703"</f>
        <v>2021023703</v>
      </c>
      <c r="E1044" s="4" t="str">
        <f t="shared" ref="E1044:E1054" si="152">"37"</f>
        <v>37</v>
      </c>
      <c r="F1044" s="4" t="str">
        <f>"03"</f>
        <v>03</v>
      </c>
      <c r="G1044" s="4" t="s">
        <v>27</v>
      </c>
      <c r="H1044" s="5">
        <v>0</v>
      </c>
      <c r="I1044" s="6" t="s">
        <v>13</v>
      </c>
      <c r="J1044" s="4">
        <f>SUMPRODUCT(--((A1044=$A$3:$A$2785)*$H$3:$H$2785&gt;H1044))+1</f>
        <v>100</v>
      </c>
    </row>
    <row r="1045" s="1" customFormat="true" customHeight="true" spans="1:10">
      <c r="A1045" s="4" t="str">
        <f t="shared" si="145"/>
        <v>020</v>
      </c>
      <c r="B1045" s="4" t="s">
        <v>32</v>
      </c>
      <c r="C1045" s="4" t="str">
        <f>"罗钧文"</f>
        <v>罗钧文</v>
      </c>
      <c r="D1045" s="4" t="str">
        <f>"2021023706"</f>
        <v>2021023706</v>
      </c>
      <c r="E1045" s="4" t="str">
        <f t="shared" si="152"/>
        <v>37</v>
      </c>
      <c r="F1045" s="4" t="str">
        <f>"06"</f>
        <v>06</v>
      </c>
      <c r="G1045" s="4" t="s">
        <v>27</v>
      </c>
      <c r="H1045" s="5">
        <v>0</v>
      </c>
      <c r="I1045" s="6" t="s">
        <v>13</v>
      </c>
      <c r="J1045" s="4">
        <f>SUMPRODUCT(--((A1045=$A$3:$A$2785)*$H$3:$H$2785&gt;H1045))+1</f>
        <v>100</v>
      </c>
    </row>
    <row r="1046" s="1" customFormat="true" customHeight="true" spans="1:10">
      <c r="A1046" s="4" t="str">
        <f t="shared" si="145"/>
        <v>020</v>
      </c>
      <c r="B1046" s="4" t="s">
        <v>32</v>
      </c>
      <c r="C1046" s="4" t="str">
        <f>"曹莹琦婧"</f>
        <v>曹莹琦婧</v>
      </c>
      <c r="D1046" s="4" t="str">
        <f>"2021023709"</f>
        <v>2021023709</v>
      </c>
      <c r="E1046" s="4" t="str">
        <f t="shared" si="152"/>
        <v>37</v>
      </c>
      <c r="F1046" s="4" t="str">
        <f>"09"</f>
        <v>09</v>
      </c>
      <c r="G1046" s="4" t="s">
        <v>27</v>
      </c>
      <c r="H1046" s="5">
        <v>0</v>
      </c>
      <c r="I1046" s="6" t="s">
        <v>13</v>
      </c>
      <c r="J1046" s="4">
        <f>SUMPRODUCT(--((A1046=$A$3:$A$2785)*$H$3:$H$2785&gt;H1046))+1</f>
        <v>100</v>
      </c>
    </row>
    <row r="1047" s="1" customFormat="true" customHeight="true" spans="1:10">
      <c r="A1047" s="4" t="str">
        <f t="shared" si="145"/>
        <v>020</v>
      </c>
      <c r="B1047" s="4" t="s">
        <v>32</v>
      </c>
      <c r="C1047" s="4" t="str">
        <f>"贺进"</f>
        <v>贺进</v>
      </c>
      <c r="D1047" s="4" t="str">
        <f>"2021023711"</f>
        <v>2021023711</v>
      </c>
      <c r="E1047" s="4" t="str">
        <f t="shared" si="152"/>
        <v>37</v>
      </c>
      <c r="F1047" s="4" t="str">
        <f>"11"</f>
        <v>11</v>
      </c>
      <c r="G1047" s="4" t="s">
        <v>27</v>
      </c>
      <c r="H1047" s="5">
        <v>0</v>
      </c>
      <c r="I1047" s="6" t="s">
        <v>13</v>
      </c>
      <c r="J1047" s="4">
        <f>SUMPRODUCT(--((A1047=$A$3:$A$2785)*$H$3:$H$2785&gt;H1047))+1</f>
        <v>100</v>
      </c>
    </row>
    <row r="1048" s="1" customFormat="true" customHeight="true" spans="1:10">
      <c r="A1048" s="4" t="str">
        <f t="shared" si="145"/>
        <v>020</v>
      </c>
      <c r="B1048" s="4" t="s">
        <v>32</v>
      </c>
      <c r="C1048" s="4" t="str">
        <f>"阮文婷"</f>
        <v>阮文婷</v>
      </c>
      <c r="D1048" s="4" t="str">
        <f>"2021023713"</f>
        <v>2021023713</v>
      </c>
      <c r="E1048" s="4" t="str">
        <f t="shared" si="152"/>
        <v>37</v>
      </c>
      <c r="F1048" s="4" t="str">
        <f>"13"</f>
        <v>13</v>
      </c>
      <c r="G1048" s="4" t="s">
        <v>27</v>
      </c>
      <c r="H1048" s="5">
        <v>0</v>
      </c>
      <c r="I1048" s="6" t="s">
        <v>13</v>
      </c>
      <c r="J1048" s="4">
        <f>SUMPRODUCT(--((A1048=$A$3:$A$2785)*$H$3:$H$2785&gt;H1048))+1</f>
        <v>100</v>
      </c>
    </row>
    <row r="1049" s="1" customFormat="true" customHeight="true" spans="1:10">
      <c r="A1049" s="4" t="str">
        <f t="shared" si="145"/>
        <v>020</v>
      </c>
      <c r="B1049" s="4" t="s">
        <v>32</v>
      </c>
      <c r="C1049" s="4" t="str">
        <f>"杨加梅"</f>
        <v>杨加梅</v>
      </c>
      <c r="D1049" s="4" t="str">
        <f>"2021023715"</f>
        <v>2021023715</v>
      </c>
      <c r="E1049" s="4" t="str">
        <f t="shared" si="152"/>
        <v>37</v>
      </c>
      <c r="F1049" s="4" t="str">
        <f>"15"</f>
        <v>15</v>
      </c>
      <c r="G1049" s="4" t="s">
        <v>27</v>
      </c>
      <c r="H1049" s="5">
        <v>0</v>
      </c>
      <c r="I1049" s="6" t="s">
        <v>13</v>
      </c>
      <c r="J1049" s="4">
        <f>SUMPRODUCT(--((A1049=$A$3:$A$2785)*$H$3:$H$2785&gt;H1049))+1</f>
        <v>100</v>
      </c>
    </row>
    <row r="1050" s="1" customFormat="true" customHeight="true" spans="1:10">
      <c r="A1050" s="4" t="str">
        <f t="shared" si="145"/>
        <v>020</v>
      </c>
      <c r="B1050" s="4" t="s">
        <v>32</v>
      </c>
      <c r="C1050" s="4" t="str">
        <f>"唐妍"</f>
        <v>唐妍</v>
      </c>
      <c r="D1050" s="4" t="str">
        <f>"2021023718"</f>
        <v>2021023718</v>
      </c>
      <c r="E1050" s="4" t="str">
        <f t="shared" si="152"/>
        <v>37</v>
      </c>
      <c r="F1050" s="4" t="str">
        <f>"18"</f>
        <v>18</v>
      </c>
      <c r="G1050" s="4" t="s">
        <v>27</v>
      </c>
      <c r="H1050" s="5">
        <v>0</v>
      </c>
      <c r="I1050" s="6" t="s">
        <v>13</v>
      </c>
      <c r="J1050" s="4">
        <f>SUMPRODUCT(--((A1050=$A$3:$A$2785)*$H$3:$H$2785&gt;H1050))+1</f>
        <v>100</v>
      </c>
    </row>
    <row r="1051" s="1" customFormat="true" customHeight="true" spans="1:10">
      <c r="A1051" s="4" t="str">
        <f t="shared" si="145"/>
        <v>020</v>
      </c>
      <c r="B1051" s="4" t="s">
        <v>32</v>
      </c>
      <c r="C1051" s="4" t="str">
        <f>"肖功长"</f>
        <v>肖功长</v>
      </c>
      <c r="D1051" s="4" t="str">
        <f>"2021023725"</f>
        <v>2021023725</v>
      </c>
      <c r="E1051" s="4" t="str">
        <f t="shared" si="152"/>
        <v>37</v>
      </c>
      <c r="F1051" s="4" t="str">
        <f>"25"</f>
        <v>25</v>
      </c>
      <c r="G1051" s="4" t="s">
        <v>27</v>
      </c>
      <c r="H1051" s="5">
        <v>0</v>
      </c>
      <c r="I1051" s="6" t="s">
        <v>13</v>
      </c>
      <c r="J1051" s="4">
        <f>SUMPRODUCT(--((A1051=$A$3:$A$2785)*$H$3:$H$2785&gt;H1051))+1</f>
        <v>100</v>
      </c>
    </row>
    <row r="1052" s="1" customFormat="true" customHeight="true" spans="1:10">
      <c r="A1052" s="4" t="str">
        <f t="shared" si="145"/>
        <v>020</v>
      </c>
      <c r="B1052" s="4" t="s">
        <v>32</v>
      </c>
      <c r="C1052" s="4" t="str">
        <f>"孙曾杰"</f>
        <v>孙曾杰</v>
      </c>
      <c r="D1052" s="4" t="str">
        <f>"2021023726"</f>
        <v>2021023726</v>
      </c>
      <c r="E1052" s="4" t="str">
        <f t="shared" si="152"/>
        <v>37</v>
      </c>
      <c r="F1052" s="4" t="str">
        <f>"26"</f>
        <v>26</v>
      </c>
      <c r="G1052" s="4" t="s">
        <v>27</v>
      </c>
      <c r="H1052" s="5">
        <v>0</v>
      </c>
      <c r="I1052" s="6" t="s">
        <v>13</v>
      </c>
      <c r="J1052" s="4">
        <f>SUMPRODUCT(--((A1052=$A$3:$A$2785)*$H$3:$H$2785&gt;H1052))+1</f>
        <v>100</v>
      </c>
    </row>
    <row r="1053" s="1" customFormat="true" customHeight="true" spans="1:10">
      <c r="A1053" s="4" t="str">
        <f t="shared" si="145"/>
        <v>020</v>
      </c>
      <c r="B1053" s="4" t="s">
        <v>32</v>
      </c>
      <c r="C1053" s="4" t="str">
        <f>"刘双"</f>
        <v>刘双</v>
      </c>
      <c r="D1053" s="4" t="str">
        <f>"2021023728"</f>
        <v>2021023728</v>
      </c>
      <c r="E1053" s="4" t="str">
        <f t="shared" si="152"/>
        <v>37</v>
      </c>
      <c r="F1053" s="4" t="str">
        <f>"28"</f>
        <v>28</v>
      </c>
      <c r="G1053" s="4" t="s">
        <v>27</v>
      </c>
      <c r="H1053" s="5">
        <v>0</v>
      </c>
      <c r="I1053" s="6" t="s">
        <v>13</v>
      </c>
      <c r="J1053" s="4">
        <f>SUMPRODUCT(--((A1053=$A$3:$A$2785)*$H$3:$H$2785&gt;H1053))+1</f>
        <v>100</v>
      </c>
    </row>
    <row r="1054" s="1" customFormat="true" customHeight="true" spans="1:10">
      <c r="A1054" s="4" t="str">
        <f t="shared" si="145"/>
        <v>020</v>
      </c>
      <c r="B1054" s="4" t="s">
        <v>32</v>
      </c>
      <c r="C1054" s="4" t="str">
        <f>"向操"</f>
        <v>向操</v>
      </c>
      <c r="D1054" s="4" t="str">
        <f>"2021023729"</f>
        <v>2021023729</v>
      </c>
      <c r="E1054" s="4" t="str">
        <f t="shared" si="152"/>
        <v>37</v>
      </c>
      <c r="F1054" s="4" t="str">
        <f>"29"</f>
        <v>29</v>
      </c>
      <c r="G1054" s="4" t="s">
        <v>27</v>
      </c>
      <c r="H1054" s="5">
        <v>0</v>
      </c>
      <c r="I1054" s="6" t="s">
        <v>13</v>
      </c>
      <c r="J1054" s="4">
        <f>SUMPRODUCT(--((A1054=$A$3:$A$2785)*$H$3:$H$2785&gt;H1054))+1</f>
        <v>100</v>
      </c>
    </row>
    <row r="1055" s="1" customFormat="true" customHeight="true" spans="1:10">
      <c r="A1055" s="4" t="str">
        <f t="shared" si="145"/>
        <v>020</v>
      </c>
      <c r="B1055" s="4" t="s">
        <v>32</v>
      </c>
      <c r="C1055" s="4" t="str">
        <f>"钟倩"</f>
        <v>钟倩</v>
      </c>
      <c r="D1055" s="4" t="str">
        <f>"2021023802"</f>
        <v>2021023802</v>
      </c>
      <c r="E1055" s="4" t="str">
        <f t="shared" ref="E1055:E1062" si="153">"38"</f>
        <v>38</v>
      </c>
      <c r="F1055" s="4" t="str">
        <f>"02"</f>
        <v>02</v>
      </c>
      <c r="G1055" s="4" t="s">
        <v>27</v>
      </c>
      <c r="H1055" s="5">
        <v>0</v>
      </c>
      <c r="I1055" s="6" t="s">
        <v>13</v>
      </c>
      <c r="J1055" s="4">
        <f>SUMPRODUCT(--((A1055=$A$3:$A$2785)*$H$3:$H$2785&gt;H1055))+1</f>
        <v>100</v>
      </c>
    </row>
    <row r="1056" s="1" customFormat="true" customHeight="true" spans="1:10">
      <c r="A1056" s="4" t="str">
        <f t="shared" si="145"/>
        <v>020</v>
      </c>
      <c r="B1056" s="4" t="s">
        <v>32</v>
      </c>
      <c r="C1056" s="4" t="str">
        <f>"晏卓"</f>
        <v>晏卓</v>
      </c>
      <c r="D1056" s="4" t="str">
        <f>"2021023806"</f>
        <v>2021023806</v>
      </c>
      <c r="E1056" s="4" t="str">
        <f t="shared" si="153"/>
        <v>38</v>
      </c>
      <c r="F1056" s="4" t="str">
        <f>"06"</f>
        <v>06</v>
      </c>
      <c r="G1056" s="4" t="s">
        <v>27</v>
      </c>
      <c r="H1056" s="5">
        <v>0</v>
      </c>
      <c r="I1056" s="6" t="s">
        <v>13</v>
      </c>
      <c r="J1056" s="4">
        <f>SUMPRODUCT(--((A1056=$A$3:$A$2785)*$H$3:$H$2785&gt;H1056))+1</f>
        <v>100</v>
      </c>
    </row>
    <row r="1057" s="1" customFormat="true" customHeight="true" spans="1:10">
      <c r="A1057" s="4" t="str">
        <f t="shared" si="145"/>
        <v>020</v>
      </c>
      <c r="B1057" s="4" t="s">
        <v>32</v>
      </c>
      <c r="C1057" s="4" t="str">
        <f>"潘飞鹃"</f>
        <v>潘飞鹃</v>
      </c>
      <c r="D1057" s="4" t="str">
        <f>"2021023815"</f>
        <v>2021023815</v>
      </c>
      <c r="E1057" s="4" t="str">
        <f t="shared" si="153"/>
        <v>38</v>
      </c>
      <c r="F1057" s="4" t="str">
        <f>"15"</f>
        <v>15</v>
      </c>
      <c r="G1057" s="4" t="s">
        <v>27</v>
      </c>
      <c r="H1057" s="5">
        <v>0</v>
      </c>
      <c r="I1057" s="6" t="s">
        <v>13</v>
      </c>
      <c r="J1057" s="4">
        <f>SUMPRODUCT(--((A1057=$A$3:$A$2785)*$H$3:$H$2785&gt;H1057))+1</f>
        <v>100</v>
      </c>
    </row>
    <row r="1058" s="1" customFormat="true" customHeight="true" spans="1:10">
      <c r="A1058" s="4" t="str">
        <f t="shared" si="145"/>
        <v>020</v>
      </c>
      <c r="B1058" s="4" t="s">
        <v>32</v>
      </c>
      <c r="C1058" s="4" t="str">
        <f>"李慧"</f>
        <v>李慧</v>
      </c>
      <c r="D1058" s="4" t="str">
        <f>"2021023817"</f>
        <v>2021023817</v>
      </c>
      <c r="E1058" s="4" t="str">
        <f t="shared" si="153"/>
        <v>38</v>
      </c>
      <c r="F1058" s="4" t="str">
        <f>"17"</f>
        <v>17</v>
      </c>
      <c r="G1058" s="4" t="s">
        <v>27</v>
      </c>
      <c r="H1058" s="5">
        <v>0</v>
      </c>
      <c r="I1058" s="6" t="s">
        <v>13</v>
      </c>
      <c r="J1058" s="4">
        <f>SUMPRODUCT(--((A1058=$A$3:$A$2785)*$H$3:$H$2785&gt;H1058))+1</f>
        <v>100</v>
      </c>
    </row>
    <row r="1059" s="1" customFormat="true" customHeight="true" spans="1:10">
      <c r="A1059" s="4" t="str">
        <f t="shared" si="145"/>
        <v>020</v>
      </c>
      <c r="B1059" s="4" t="s">
        <v>32</v>
      </c>
      <c r="C1059" s="4" t="str">
        <f>"曾群琳"</f>
        <v>曾群琳</v>
      </c>
      <c r="D1059" s="4" t="str">
        <f>"2021023819"</f>
        <v>2021023819</v>
      </c>
      <c r="E1059" s="4" t="str">
        <f t="shared" si="153"/>
        <v>38</v>
      </c>
      <c r="F1059" s="4" t="str">
        <f>"19"</f>
        <v>19</v>
      </c>
      <c r="G1059" s="4" t="s">
        <v>27</v>
      </c>
      <c r="H1059" s="5">
        <v>0</v>
      </c>
      <c r="I1059" s="6" t="s">
        <v>13</v>
      </c>
      <c r="J1059" s="4">
        <f>SUMPRODUCT(--((A1059=$A$3:$A$2785)*$H$3:$H$2785&gt;H1059))+1</f>
        <v>100</v>
      </c>
    </row>
    <row r="1060" s="1" customFormat="true" customHeight="true" spans="1:10">
      <c r="A1060" s="4" t="str">
        <f t="shared" si="145"/>
        <v>020</v>
      </c>
      <c r="B1060" s="4" t="s">
        <v>32</v>
      </c>
      <c r="C1060" s="4" t="str">
        <f>"张梅"</f>
        <v>张梅</v>
      </c>
      <c r="D1060" s="4" t="str">
        <f>"2021023820"</f>
        <v>2021023820</v>
      </c>
      <c r="E1060" s="4" t="str">
        <f t="shared" si="153"/>
        <v>38</v>
      </c>
      <c r="F1060" s="4" t="str">
        <f>"20"</f>
        <v>20</v>
      </c>
      <c r="G1060" s="4" t="s">
        <v>27</v>
      </c>
      <c r="H1060" s="5">
        <v>0</v>
      </c>
      <c r="I1060" s="6" t="s">
        <v>13</v>
      </c>
      <c r="J1060" s="4">
        <f>SUMPRODUCT(--((A1060=$A$3:$A$2785)*$H$3:$H$2785&gt;H1060))+1</f>
        <v>100</v>
      </c>
    </row>
    <row r="1061" s="1" customFormat="true" customHeight="true" spans="1:10">
      <c r="A1061" s="4" t="str">
        <f t="shared" ref="A1061:A1079" si="154">"020"</f>
        <v>020</v>
      </c>
      <c r="B1061" s="4" t="s">
        <v>32</v>
      </c>
      <c r="C1061" s="4" t="str">
        <f>"毛婷"</f>
        <v>毛婷</v>
      </c>
      <c r="D1061" s="4" t="str">
        <f>"2021023826"</f>
        <v>2021023826</v>
      </c>
      <c r="E1061" s="4" t="str">
        <f t="shared" si="153"/>
        <v>38</v>
      </c>
      <c r="F1061" s="4" t="str">
        <f>"26"</f>
        <v>26</v>
      </c>
      <c r="G1061" s="4" t="s">
        <v>27</v>
      </c>
      <c r="H1061" s="5">
        <v>0</v>
      </c>
      <c r="I1061" s="6" t="s">
        <v>13</v>
      </c>
      <c r="J1061" s="4">
        <f>SUMPRODUCT(--((A1061=$A$3:$A$2785)*$H$3:$H$2785&gt;H1061))+1</f>
        <v>100</v>
      </c>
    </row>
    <row r="1062" s="1" customFormat="true" customHeight="true" spans="1:10">
      <c r="A1062" s="4" t="str">
        <f t="shared" si="154"/>
        <v>020</v>
      </c>
      <c r="B1062" s="4" t="s">
        <v>32</v>
      </c>
      <c r="C1062" s="4" t="str">
        <f>"杨汉宁"</f>
        <v>杨汉宁</v>
      </c>
      <c r="D1062" s="4" t="str">
        <f>"2021023830"</f>
        <v>2021023830</v>
      </c>
      <c r="E1062" s="4" t="str">
        <f t="shared" si="153"/>
        <v>38</v>
      </c>
      <c r="F1062" s="4" t="str">
        <f>"30"</f>
        <v>30</v>
      </c>
      <c r="G1062" s="4" t="s">
        <v>27</v>
      </c>
      <c r="H1062" s="5">
        <v>0</v>
      </c>
      <c r="I1062" s="6" t="s">
        <v>13</v>
      </c>
      <c r="J1062" s="4">
        <f>SUMPRODUCT(--((A1062=$A$3:$A$2785)*$H$3:$H$2785&gt;H1062))+1</f>
        <v>100</v>
      </c>
    </row>
    <row r="1063" s="1" customFormat="true" customHeight="true" spans="1:10">
      <c r="A1063" s="4" t="str">
        <f t="shared" si="154"/>
        <v>020</v>
      </c>
      <c r="B1063" s="4" t="s">
        <v>32</v>
      </c>
      <c r="C1063" s="4" t="str">
        <f>"曾惠兰"</f>
        <v>曾惠兰</v>
      </c>
      <c r="D1063" s="4" t="str">
        <f>"2021023907"</f>
        <v>2021023907</v>
      </c>
      <c r="E1063" s="4" t="str">
        <f t="shared" ref="E1063:E1074" si="155">"39"</f>
        <v>39</v>
      </c>
      <c r="F1063" s="4" t="str">
        <f>"07"</f>
        <v>07</v>
      </c>
      <c r="G1063" s="4" t="s">
        <v>27</v>
      </c>
      <c r="H1063" s="5">
        <v>0</v>
      </c>
      <c r="I1063" s="6" t="s">
        <v>13</v>
      </c>
      <c r="J1063" s="4">
        <f>SUMPRODUCT(--((A1063=$A$3:$A$2785)*$H$3:$H$2785&gt;H1063))+1</f>
        <v>100</v>
      </c>
    </row>
    <row r="1064" s="1" customFormat="true" customHeight="true" spans="1:10">
      <c r="A1064" s="4" t="str">
        <f t="shared" si="154"/>
        <v>020</v>
      </c>
      <c r="B1064" s="4" t="s">
        <v>32</v>
      </c>
      <c r="C1064" s="4" t="str">
        <f>"龙安琪"</f>
        <v>龙安琪</v>
      </c>
      <c r="D1064" s="4" t="str">
        <f>"2021023908"</f>
        <v>2021023908</v>
      </c>
      <c r="E1064" s="4" t="str">
        <f t="shared" si="155"/>
        <v>39</v>
      </c>
      <c r="F1064" s="4" t="str">
        <f>"08"</f>
        <v>08</v>
      </c>
      <c r="G1064" s="4" t="s">
        <v>27</v>
      </c>
      <c r="H1064" s="5">
        <v>0</v>
      </c>
      <c r="I1064" s="6" t="s">
        <v>13</v>
      </c>
      <c r="J1064" s="4">
        <f>SUMPRODUCT(--((A1064=$A$3:$A$2785)*$H$3:$H$2785&gt;H1064))+1</f>
        <v>100</v>
      </c>
    </row>
    <row r="1065" s="1" customFormat="true" customHeight="true" spans="1:10">
      <c r="A1065" s="4" t="str">
        <f t="shared" si="154"/>
        <v>020</v>
      </c>
      <c r="B1065" s="4" t="s">
        <v>32</v>
      </c>
      <c r="C1065" s="4" t="str">
        <f>"杨妮"</f>
        <v>杨妮</v>
      </c>
      <c r="D1065" s="4" t="str">
        <f>"2021023912"</f>
        <v>2021023912</v>
      </c>
      <c r="E1065" s="4" t="str">
        <f t="shared" si="155"/>
        <v>39</v>
      </c>
      <c r="F1065" s="4" t="str">
        <f>"12"</f>
        <v>12</v>
      </c>
      <c r="G1065" s="4" t="s">
        <v>27</v>
      </c>
      <c r="H1065" s="5">
        <v>0</v>
      </c>
      <c r="I1065" s="6" t="s">
        <v>13</v>
      </c>
      <c r="J1065" s="4">
        <f>SUMPRODUCT(--((A1065=$A$3:$A$2785)*$H$3:$H$2785&gt;H1065))+1</f>
        <v>100</v>
      </c>
    </row>
    <row r="1066" s="1" customFormat="true" customHeight="true" spans="1:10">
      <c r="A1066" s="4" t="str">
        <f t="shared" si="154"/>
        <v>020</v>
      </c>
      <c r="B1066" s="4" t="s">
        <v>32</v>
      </c>
      <c r="C1066" s="4" t="str">
        <f>"姜璇"</f>
        <v>姜璇</v>
      </c>
      <c r="D1066" s="4" t="str">
        <f>"2021023913"</f>
        <v>2021023913</v>
      </c>
      <c r="E1066" s="4" t="str">
        <f t="shared" si="155"/>
        <v>39</v>
      </c>
      <c r="F1066" s="4" t="str">
        <f>"13"</f>
        <v>13</v>
      </c>
      <c r="G1066" s="4" t="s">
        <v>27</v>
      </c>
      <c r="H1066" s="5">
        <v>0</v>
      </c>
      <c r="I1066" s="6" t="s">
        <v>13</v>
      </c>
      <c r="J1066" s="4">
        <f>SUMPRODUCT(--((A1066=$A$3:$A$2785)*$H$3:$H$2785&gt;H1066))+1</f>
        <v>100</v>
      </c>
    </row>
    <row r="1067" s="1" customFormat="true" customHeight="true" spans="1:10">
      <c r="A1067" s="4" t="str">
        <f t="shared" si="154"/>
        <v>020</v>
      </c>
      <c r="B1067" s="4" t="s">
        <v>32</v>
      </c>
      <c r="C1067" s="4" t="str">
        <f>"廖沅沅"</f>
        <v>廖沅沅</v>
      </c>
      <c r="D1067" s="4" t="str">
        <f>"2021023915"</f>
        <v>2021023915</v>
      </c>
      <c r="E1067" s="4" t="str">
        <f t="shared" si="155"/>
        <v>39</v>
      </c>
      <c r="F1067" s="4" t="str">
        <f>"15"</f>
        <v>15</v>
      </c>
      <c r="G1067" s="4" t="s">
        <v>27</v>
      </c>
      <c r="H1067" s="5">
        <v>0</v>
      </c>
      <c r="I1067" s="6" t="s">
        <v>13</v>
      </c>
      <c r="J1067" s="4">
        <f>SUMPRODUCT(--((A1067=$A$3:$A$2785)*$H$3:$H$2785&gt;H1067))+1</f>
        <v>100</v>
      </c>
    </row>
    <row r="1068" s="1" customFormat="true" customHeight="true" spans="1:10">
      <c r="A1068" s="4" t="str">
        <f t="shared" si="154"/>
        <v>020</v>
      </c>
      <c r="B1068" s="4" t="s">
        <v>32</v>
      </c>
      <c r="C1068" s="4" t="str">
        <f>"刘晓蓉"</f>
        <v>刘晓蓉</v>
      </c>
      <c r="D1068" s="4" t="str">
        <f>"2021023917"</f>
        <v>2021023917</v>
      </c>
      <c r="E1068" s="4" t="str">
        <f t="shared" si="155"/>
        <v>39</v>
      </c>
      <c r="F1068" s="4" t="str">
        <f>"17"</f>
        <v>17</v>
      </c>
      <c r="G1068" s="4" t="s">
        <v>27</v>
      </c>
      <c r="H1068" s="5">
        <v>0</v>
      </c>
      <c r="I1068" s="6" t="s">
        <v>13</v>
      </c>
      <c r="J1068" s="4">
        <f>SUMPRODUCT(--((A1068=$A$3:$A$2785)*$H$3:$H$2785&gt;H1068))+1</f>
        <v>100</v>
      </c>
    </row>
    <row r="1069" s="1" customFormat="true" customHeight="true" spans="1:10">
      <c r="A1069" s="4" t="str">
        <f t="shared" si="154"/>
        <v>020</v>
      </c>
      <c r="B1069" s="4" t="s">
        <v>32</v>
      </c>
      <c r="C1069" s="4" t="str">
        <f>"杨珊珊"</f>
        <v>杨珊珊</v>
      </c>
      <c r="D1069" s="4" t="str">
        <f>"2021023919"</f>
        <v>2021023919</v>
      </c>
      <c r="E1069" s="4" t="str">
        <f t="shared" si="155"/>
        <v>39</v>
      </c>
      <c r="F1069" s="4" t="str">
        <f>"19"</f>
        <v>19</v>
      </c>
      <c r="G1069" s="4" t="s">
        <v>27</v>
      </c>
      <c r="H1069" s="5">
        <v>0</v>
      </c>
      <c r="I1069" s="6" t="s">
        <v>13</v>
      </c>
      <c r="J1069" s="4">
        <f>SUMPRODUCT(--((A1069=$A$3:$A$2785)*$H$3:$H$2785&gt;H1069))+1</f>
        <v>100</v>
      </c>
    </row>
    <row r="1070" s="1" customFormat="true" customHeight="true" spans="1:10">
      <c r="A1070" s="4" t="str">
        <f t="shared" si="154"/>
        <v>020</v>
      </c>
      <c r="B1070" s="4" t="s">
        <v>32</v>
      </c>
      <c r="C1070" s="4" t="str">
        <f>"蒋心怡"</f>
        <v>蒋心怡</v>
      </c>
      <c r="D1070" s="4" t="str">
        <f>"2021023921"</f>
        <v>2021023921</v>
      </c>
      <c r="E1070" s="4" t="str">
        <f t="shared" si="155"/>
        <v>39</v>
      </c>
      <c r="F1070" s="4" t="str">
        <f>"21"</f>
        <v>21</v>
      </c>
      <c r="G1070" s="4" t="s">
        <v>27</v>
      </c>
      <c r="H1070" s="5">
        <v>0</v>
      </c>
      <c r="I1070" s="6" t="s">
        <v>13</v>
      </c>
      <c r="J1070" s="4">
        <f>SUMPRODUCT(--((A1070=$A$3:$A$2785)*$H$3:$H$2785&gt;H1070))+1</f>
        <v>100</v>
      </c>
    </row>
    <row r="1071" s="1" customFormat="true" customHeight="true" spans="1:10">
      <c r="A1071" s="4" t="str">
        <f t="shared" si="154"/>
        <v>020</v>
      </c>
      <c r="B1071" s="4" t="s">
        <v>32</v>
      </c>
      <c r="C1071" s="4" t="str">
        <f>"张华"</f>
        <v>张华</v>
      </c>
      <c r="D1071" s="4" t="str">
        <f>"2021023924"</f>
        <v>2021023924</v>
      </c>
      <c r="E1071" s="4" t="str">
        <f t="shared" si="155"/>
        <v>39</v>
      </c>
      <c r="F1071" s="4" t="str">
        <f>"24"</f>
        <v>24</v>
      </c>
      <c r="G1071" s="4" t="s">
        <v>27</v>
      </c>
      <c r="H1071" s="5">
        <v>0</v>
      </c>
      <c r="I1071" s="6" t="s">
        <v>13</v>
      </c>
      <c r="J1071" s="4">
        <f>SUMPRODUCT(--((A1071=$A$3:$A$2785)*$H$3:$H$2785&gt;H1071))+1</f>
        <v>100</v>
      </c>
    </row>
    <row r="1072" s="1" customFormat="true" customHeight="true" spans="1:10">
      <c r="A1072" s="4" t="str">
        <f t="shared" si="154"/>
        <v>020</v>
      </c>
      <c r="B1072" s="4" t="s">
        <v>32</v>
      </c>
      <c r="C1072" s="4" t="str">
        <f>"罗童方"</f>
        <v>罗童方</v>
      </c>
      <c r="D1072" s="4" t="str">
        <f>"2021023925"</f>
        <v>2021023925</v>
      </c>
      <c r="E1072" s="4" t="str">
        <f t="shared" si="155"/>
        <v>39</v>
      </c>
      <c r="F1072" s="4" t="str">
        <f>"25"</f>
        <v>25</v>
      </c>
      <c r="G1072" s="4" t="s">
        <v>27</v>
      </c>
      <c r="H1072" s="5">
        <v>0</v>
      </c>
      <c r="I1072" s="6" t="s">
        <v>13</v>
      </c>
      <c r="J1072" s="4">
        <f>SUMPRODUCT(--((A1072=$A$3:$A$2785)*$H$3:$H$2785&gt;H1072))+1</f>
        <v>100</v>
      </c>
    </row>
    <row r="1073" s="1" customFormat="true" customHeight="true" spans="1:10">
      <c r="A1073" s="4" t="str">
        <f t="shared" si="154"/>
        <v>020</v>
      </c>
      <c r="B1073" s="4" t="s">
        <v>32</v>
      </c>
      <c r="C1073" s="4" t="str">
        <f>"舒叶"</f>
        <v>舒叶</v>
      </c>
      <c r="D1073" s="4" t="str">
        <f>"2021023928"</f>
        <v>2021023928</v>
      </c>
      <c r="E1073" s="4" t="str">
        <f t="shared" si="155"/>
        <v>39</v>
      </c>
      <c r="F1073" s="4" t="str">
        <f>"28"</f>
        <v>28</v>
      </c>
      <c r="G1073" s="4" t="s">
        <v>27</v>
      </c>
      <c r="H1073" s="5">
        <v>0</v>
      </c>
      <c r="I1073" s="6" t="s">
        <v>13</v>
      </c>
      <c r="J1073" s="4">
        <f>SUMPRODUCT(--((A1073=$A$3:$A$2785)*$H$3:$H$2785&gt;H1073))+1</f>
        <v>100</v>
      </c>
    </row>
    <row r="1074" s="1" customFormat="true" customHeight="true" spans="1:10">
      <c r="A1074" s="4" t="str">
        <f t="shared" si="154"/>
        <v>020</v>
      </c>
      <c r="B1074" s="4" t="s">
        <v>32</v>
      </c>
      <c r="C1074" s="4" t="str">
        <f>"段春红"</f>
        <v>段春红</v>
      </c>
      <c r="D1074" s="4" t="str">
        <f>"2021023930"</f>
        <v>2021023930</v>
      </c>
      <c r="E1074" s="4" t="str">
        <f t="shared" si="155"/>
        <v>39</v>
      </c>
      <c r="F1074" s="4" t="str">
        <f>"30"</f>
        <v>30</v>
      </c>
      <c r="G1074" s="4" t="s">
        <v>27</v>
      </c>
      <c r="H1074" s="5">
        <v>0</v>
      </c>
      <c r="I1074" s="6" t="s">
        <v>13</v>
      </c>
      <c r="J1074" s="4">
        <f>SUMPRODUCT(--((A1074=$A$3:$A$2785)*$H$3:$H$2785&gt;H1074))+1</f>
        <v>100</v>
      </c>
    </row>
    <row r="1075" s="1" customFormat="true" customHeight="true" spans="1:10">
      <c r="A1075" s="4" t="str">
        <f t="shared" si="154"/>
        <v>020</v>
      </c>
      <c r="B1075" s="4" t="s">
        <v>32</v>
      </c>
      <c r="C1075" s="4" t="str">
        <f>"张静"</f>
        <v>张静</v>
      </c>
      <c r="D1075" s="4" t="str">
        <f>"2021024001"</f>
        <v>2021024001</v>
      </c>
      <c r="E1075" s="4" t="str">
        <f t="shared" ref="E1075:E1079" si="156">"40"</f>
        <v>40</v>
      </c>
      <c r="F1075" s="4" t="str">
        <f>"01"</f>
        <v>01</v>
      </c>
      <c r="G1075" s="4" t="s">
        <v>27</v>
      </c>
      <c r="H1075" s="5">
        <v>0</v>
      </c>
      <c r="I1075" s="6" t="s">
        <v>13</v>
      </c>
      <c r="J1075" s="4">
        <f>SUMPRODUCT(--((A1075=$A$3:$A$2785)*$H$3:$H$2785&gt;H1075))+1</f>
        <v>100</v>
      </c>
    </row>
    <row r="1076" s="1" customFormat="true" customHeight="true" spans="1:10">
      <c r="A1076" s="4" t="str">
        <f t="shared" si="154"/>
        <v>020</v>
      </c>
      <c r="B1076" s="4" t="s">
        <v>32</v>
      </c>
      <c r="C1076" s="4" t="str">
        <f>"向丽君"</f>
        <v>向丽君</v>
      </c>
      <c r="D1076" s="4" t="str">
        <f>"2021024005"</f>
        <v>2021024005</v>
      </c>
      <c r="E1076" s="4" t="str">
        <f t="shared" si="156"/>
        <v>40</v>
      </c>
      <c r="F1076" s="4" t="str">
        <f>"05"</f>
        <v>05</v>
      </c>
      <c r="G1076" s="4" t="s">
        <v>27</v>
      </c>
      <c r="H1076" s="5">
        <v>0</v>
      </c>
      <c r="I1076" s="6" t="s">
        <v>13</v>
      </c>
      <c r="J1076" s="4">
        <f>SUMPRODUCT(--((A1076=$A$3:$A$2785)*$H$3:$H$2785&gt;H1076))+1</f>
        <v>100</v>
      </c>
    </row>
    <row r="1077" s="1" customFormat="true" customHeight="true" spans="1:10">
      <c r="A1077" s="4" t="str">
        <f t="shared" si="154"/>
        <v>020</v>
      </c>
      <c r="B1077" s="4" t="s">
        <v>32</v>
      </c>
      <c r="C1077" s="4" t="str">
        <f>"刘思诗"</f>
        <v>刘思诗</v>
      </c>
      <c r="D1077" s="4" t="str">
        <f>"2021024006"</f>
        <v>2021024006</v>
      </c>
      <c r="E1077" s="4" t="str">
        <f t="shared" si="156"/>
        <v>40</v>
      </c>
      <c r="F1077" s="4" t="str">
        <f>"06"</f>
        <v>06</v>
      </c>
      <c r="G1077" s="4" t="s">
        <v>27</v>
      </c>
      <c r="H1077" s="5">
        <v>0</v>
      </c>
      <c r="I1077" s="6" t="s">
        <v>13</v>
      </c>
      <c r="J1077" s="4">
        <f>SUMPRODUCT(--((A1077=$A$3:$A$2785)*$H$3:$H$2785&gt;H1077))+1</f>
        <v>100</v>
      </c>
    </row>
    <row r="1078" s="1" customFormat="true" customHeight="true" spans="1:10">
      <c r="A1078" s="4" t="str">
        <f t="shared" si="154"/>
        <v>020</v>
      </c>
      <c r="B1078" s="4" t="s">
        <v>32</v>
      </c>
      <c r="C1078" s="4" t="str">
        <f>"唐小雯"</f>
        <v>唐小雯</v>
      </c>
      <c r="D1078" s="4" t="str">
        <f>"2021024007"</f>
        <v>2021024007</v>
      </c>
      <c r="E1078" s="4" t="str">
        <f t="shared" si="156"/>
        <v>40</v>
      </c>
      <c r="F1078" s="4" t="str">
        <f>"07"</f>
        <v>07</v>
      </c>
      <c r="G1078" s="4" t="s">
        <v>27</v>
      </c>
      <c r="H1078" s="5">
        <v>0</v>
      </c>
      <c r="I1078" s="6" t="s">
        <v>13</v>
      </c>
      <c r="J1078" s="4">
        <f>SUMPRODUCT(--((A1078=$A$3:$A$2785)*$H$3:$H$2785&gt;H1078))+1</f>
        <v>100</v>
      </c>
    </row>
    <row r="1079" s="1" customFormat="true" customHeight="true" spans="1:10">
      <c r="A1079" s="4" t="str">
        <f t="shared" si="154"/>
        <v>020</v>
      </c>
      <c r="B1079" s="4" t="s">
        <v>32</v>
      </c>
      <c r="C1079" s="4" t="str">
        <f>"彭佳丽"</f>
        <v>彭佳丽</v>
      </c>
      <c r="D1079" s="4" t="str">
        <f>"2021024009"</f>
        <v>2021024009</v>
      </c>
      <c r="E1079" s="4" t="str">
        <f t="shared" si="156"/>
        <v>40</v>
      </c>
      <c r="F1079" s="4" t="str">
        <f>"09"</f>
        <v>09</v>
      </c>
      <c r="G1079" s="4" t="s">
        <v>27</v>
      </c>
      <c r="H1079" s="5">
        <v>0</v>
      </c>
      <c r="I1079" s="6" t="s">
        <v>13</v>
      </c>
      <c r="J1079" s="4">
        <f>SUMPRODUCT(--((A1079=$A$3:$A$2785)*$H$3:$H$2785&gt;H1079))+1</f>
        <v>100</v>
      </c>
    </row>
    <row r="1080" s="1" customFormat="true" customHeight="true" spans="1:10">
      <c r="A1080" s="4" t="str">
        <f t="shared" ref="A1080:A1143" si="157">"021"</f>
        <v>021</v>
      </c>
      <c r="B1080" s="4" t="s">
        <v>33</v>
      </c>
      <c r="C1080" s="4" t="str">
        <f>"孙玉莹"</f>
        <v>孙玉莹</v>
      </c>
      <c r="D1080" s="4" t="str">
        <f>"2021011722"</f>
        <v>2021011722</v>
      </c>
      <c r="E1080" s="4" t="str">
        <f>"17"</f>
        <v>17</v>
      </c>
      <c r="F1080" s="4" t="str">
        <f>"22"</f>
        <v>22</v>
      </c>
      <c r="G1080" s="4" t="s">
        <v>12</v>
      </c>
      <c r="H1080" s="5">
        <v>75.8</v>
      </c>
      <c r="I1080" s="4"/>
      <c r="J1080" s="4">
        <f>SUMPRODUCT(--((A1080=$A$3:$A$2785)*$H$3:$H$2785&gt;H1080))+1</f>
        <v>1</v>
      </c>
    </row>
    <row r="1081" s="1" customFormat="true" customHeight="true" spans="1:10">
      <c r="A1081" s="4" t="str">
        <f t="shared" si="157"/>
        <v>021</v>
      </c>
      <c r="B1081" s="4" t="s">
        <v>33</v>
      </c>
      <c r="C1081" s="4" t="str">
        <f>"肖洪玫"</f>
        <v>肖洪玫</v>
      </c>
      <c r="D1081" s="4" t="str">
        <f>"2021011819"</f>
        <v>2021011819</v>
      </c>
      <c r="E1081" s="4" t="str">
        <f>"18"</f>
        <v>18</v>
      </c>
      <c r="F1081" s="4" t="str">
        <f>"19"</f>
        <v>19</v>
      </c>
      <c r="G1081" s="4" t="s">
        <v>12</v>
      </c>
      <c r="H1081" s="5">
        <v>75.3</v>
      </c>
      <c r="I1081" s="4"/>
      <c r="J1081" s="4">
        <f>SUMPRODUCT(--((A1081=$A$3:$A$2785)*$H$3:$H$2785&gt;H1081))+1</f>
        <v>2</v>
      </c>
    </row>
    <row r="1082" s="1" customFormat="true" customHeight="true" spans="1:10">
      <c r="A1082" s="4" t="str">
        <f t="shared" si="157"/>
        <v>021</v>
      </c>
      <c r="B1082" s="4" t="s">
        <v>33</v>
      </c>
      <c r="C1082" s="4" t="str">
        <f>"谭旭佟"</f>
        <v>谭旭佟</v>
      </c>
      <c r="D1082" s="4" t="str">
        <f>"2021012305"</f>
        <v>2021012305</v>
      </c>
      <c r="E1082" s="4" t="str">
        <f>"23"</f>
        <v>23</v>
      </c>
      <c r="F1082" s="4" t="str">
        <f>"05"</f>
        <v>05</v>
      </c>
      <c r="G1082" s="4" t="s">
        <v>12</v>
      </c>
      <c r="H1082" s="5">
        <v>75.3</v>
      </c>
      <c r="I1082" s="4"/>
      <c r="J1082" s="4">
        <f>SUMPRODUCT(--((A1082=$A$3:$A$2785)*$H$3:$H$2785&gt;H1082))+1</f>
        <v>2</v>
      </c>
    </row>
    <row r="1083" s="1" customFormat="true" customHeight="true" spans="1:10">
      <c r="A1083" s="4" t="str">
        <f t="shared" si="157"/>
        <v>021</v>
      </c>
      <c r="B1083" s="4" t="s">
        <v>33</v>
      </c>
      <c r="C1083" s="4" t="str">
        <f>"向玉翠"</f>
        <v>向玉翠</v>
      </c>
      <c r="D1083" s="4" t="str">
        <f>"2021011508"</f>
        <v>2021011508</v>
      </c>
      <c r="E1083" s="4" t="str">
        <f>"15"</f>
        <v>15</v>
      </c>
      <c r="F1083" s="4" t="str">
        <f>"08"</f>
        <v>08</v>
      </c>
      <c r="G1083" s="4" t="s">
        <v>12</v>
      </c>
      <c r="H1083" s="5">
        <v>74.4</v>
      </c>
      <c r="I1083" s="4"/>
      <c r="J1083" s="4">
        <f>SUMPRODUCT(--((A1083=$A$3:$A$2785)*$H$3:$H$2785&gt;H1083))+1</f>
        <v>4</v>
      </c>
    </row>
    <row r="1084" s="1" customFormat="true" customHeight="true" spans="1:10">
      <c r="A1084" s="4" t="str">
        <f t="shared" si="157"/>
        <v>021</v>
      </c>
      <c r="B1084" s="4" t="s">
        <v>33</v>
      </c>
      <c r="C1084" s="4" t="str">
        <f>"唐凤娟"</f>
        <v>唐凤娟</v>
      </c>
      <c r="D1084" s="4" t="str">
        <f>"2021011104"</f>
        <v>2021011104</v>
      </c>
      <c r="E1084" s="4" t="str">
        <f>"11"</f>
        <v>11</v>
      </c>
      <c r="F1084" s="4" t="str">
        <f>"04"</f>
        <v>04</v>
      </c>
      <c r="G1084" s="4" t="s">
        <v>12</v>
      </c>
      <c r="H1084" s="5">
        <v>74.3</v>
      </c>
      <c r="I1084" s="4"/>
      <c r="J1084" s="4">
        <f>SUMPRODUCT(--((A1084=$A$3:$A$2785)*$H$3:$H$2785&gt;H1084))+1</f>
        <v>5</v>
      </c>
    </row>
    <row r="1085" s="1" customFormat="true" customHeight="true" spans="1:10">
      <c r="A1085" s="4" t="str">
        <f t="shared" si="157"/>
        <v>021</v>
      </c>
      <c r="B1085" s="4" t="s">
        <v>33</v>
      </c>
      <c r="C1085" s="4" t="str">
        <f>"李爱萍"</f>
        <v>李爱萍</v>
      </c>
      <c r="D1085" s="4" t="str">
        <f>"2021011420"</f>
        <v>2021011420</v>
      </c>
      <c r="E1085" s="4" t="str">
        <f>"14"</f>
        <v>14</v>
      </c>
      <c r="F1085" s="4" t="str">
        <f>"20"</f>
        <v>20</v>
      </c>
      <c r="G1085" s="4" t="s">
        <v>12</v>
      </c>
      <c r="H1085" s="5">
        <v>73.8</v>
      </c>
      <c r="I1085" s="4"/>
      <c r="J1085" s="4">
        <f>SUMPRODUCT(--((A1085=$A$3:$A$2785)*$H$3:$H$2785&gt;H1085))+1</f>
        <v>6</v>
      </c>
    </row>
    <row r="1086" s="1" customFormat="true" customHeight="true" spans="1:10">
      <c r="A1086" s="4" t="str">
        <f t="shared" si="157"/>
        <v>021</v>
      </c>
      <c r="B1086" s="4" t="s">
        <v>33</v>
      </c>
      <c r="C1086" s="4" t="str">
        <f>"贺婧娴"</f>
        <v>贺婧娴</v>
      </c>
      <c r="D1086" s="4" t="str">
        <f>"2021012129"</f>
        <v>2021012129</v>
      </c>
      <c r="E1086" s="4" t="str">
        <f>"21"</f>
        <v>21</v>
      </c>
      <c r="F1086" s="4" t="str">
        <f>"29"</f>
        <v>29</v>
      </c>
      <c r="G1086" s="4" t="s">
        <v>12</v>
      </c>
      <c r="H1086" s="5">
        <v>73.7</v>
      </c>
      <c r="I1086" s="4"/>
      <c r="J1086" s="4">
        <f>SUMPRODUCT(--((A1086=$A$3:$A$2785)*$H$3:$H$2785&gt;H1086))+1</f>
        <v>7</v>
      </c>
    </row>
    <row r="1087" s="1" customFormat="true" customHeight="true" spans="1:10">
      <c r="A1087" s="4" t="str">
        <f t="shared" si="157"/>
        <v>021</v>
      </c>
      <c r="B1087" s="4" t="s">
        <v>33</v>
      </c>
      <c r="C1087" s="4" t="str">
        <f>"阳华顺"</f>
        <v>阳华顺</v>
      </c>
      <c r="D1087" s="4" t="str">
        <f>"2021012302"</f>
        <v>2021012302</v>
      </c>
      <c r="E1087" s="4" t="str">
        <f>"23"</f>
        <v>23</v>
      </c>
      <c r="F1087" s="4" t="str">
        <f>"02"</f>
        <v>02</v>
      </c>
      <c r="G1087" s="4" t="s">
        <v>12</v>
      </c>
      <c r="H1087" s="5">
        <v>73.7</v>
      </c>
      <c r="I1087" s="4"/>
      <c r="J1087" s="4">
        <f>SUMPRODUCT(--((A1087=$A$3:$A$2785)*$H$3:$H$2785&gt;H1087))+1</f>
        <v>7</v>
      </c>
    </row>
    <row r="1088" s="1" customFormat="true" customHeight="true" spans="1:10">
      <c r="A1088" s="4" t="str">
        <f t="shared" si="157"/>
        <v>021</v>
      </c>
      <c r="B1088" s="4" t="s">
        <v>33</v>
      </c>
      <c r="C1088" s="4" t="str">
        <f>"王英"</f>
        <v>王英</v>
      </c>
      <c r="D1088" s="4" t="str">
        <f>"2021010725"</f>
        <v>2021010725</v>
      </c>
      <c r="E1088" s="4" t="str">
        <f>"07"</f>
        <v>07</v>
      </c>
      <c r="F1088" s="4" t="str">
        <f>"25"</f>
        <v>25</v>
      </c>
      <c r="G1088" s="4" t="s">
        <v>12</v>
      </c>
      <c r="H1088" s="5">
        <v>73.4</v>
      </c>
      <c r="I1088" s="4"/>
      <c r="J1088" s="4">
        <f>SUMPRODUCT(--((A1088=$A$3:$A$2785)*$H$3:$H$2785&gt;H1088))+1</f>
        <v>9</v>
      </c>
    </row>
    <row r="1089" s="1" customFormat="true" customHeight="true" spans="1:10">
      <c r="A1089" s="4" t="str">
        <f t="shared" si="157"/>
        <v>021</v>
      </c>
      <c r="B1089" s="4" t="s">
        <v>33</v>
      </c>
      <c r="C1089" s="4" t="str">
        <f>"文熹"</f>
        <v>文熹</v>
      </c>
      <c r="D1089" s="4" t="str">
        <f>"2021011428"</f>
        <v>2021011428</v>
      </c>
      <c r="E1089" s="4" t="str">
        <f>"14"</f>
        <v>14</v>
      </c>
      <c r="F1089" s="4" t="str">
        <f>"28"</f>
        <v>28</v>
      </c>
      <c r="G1089" s="4" t="s">
        <v>12</v>
      </c>
      <c r="H1089" s="5">
        <v>73.25</v>
      </c>
      <c r="I1089" s="4"/>
      <c r="J1089" s="4">
        <f>SUMPRODUCT(--((A1089=$A$3:$A$2785)*$H$3:$H$2785&gt;H1089))+1</f>
        <v>10</v>
      </c>
    </row>
    <row r="1090" s="1" customFormat="true" customHeight="true" spans="1:10">
      <c r="A1090" s="4" t="str">
        <f t="shared" si="157"/>
        <v>021</v>
      </c>
      <c r="B1090" s="4" t="s">
        <v>33</v>
      </c>
      <c r="C1090" s="4" t="str">
        <f>"丁玫琳"</f>
        <v>丁玫琳</v>
      </c>
      <c r="D1090" s="4" t="str">
        <f>"2021011826"</f>
        <v>2021011826</v>
      </c>
      <c r="E1090" s="4" t="str">
        <f>"18"</f>
        <v>18</v>
      </c>
      <c r="F1090" s="4" t="str">
        <f>"26"</f>
        <v>26</v>
      </c>
      <c r="G1090" s="4" t="s">
        <v>12</v>
      </c>
      <c r="H1090" s="5">
        <v>73.2</v>
      </c>
      <c r="I1090" s="4"/>
      <c r="J1090" s="4">
        <f>SUMPRODUCT(--((A1090=$A$3:$A$2785)*$H$3:$H$2785&gt;H1090))+1</f>
        <v>11</v>
      </c>
    </row>
    <row r="1091" s="1" customFormat="true" customHeight="true" spans="1:10">
      <c r="A1091" s="4" t="str">
        <f t="shared" si="157"/>
        <v>021</v>
      </c>
      <c r="B1091" s="4" t="s">
        <v>33</v>
      </c>
      <c r="C1091" s="4" t="str">
        <f>"杨秋月"</f>
        <v>杨秋月</v>
      </c>
      <c r="D1091" s="4" t="str">
        <f>"2021010519"</f>
        <v>2021010519</v>
      </c>
      <c r="E1091" s="4" t="str">
        <f>"05"</f>
        <v>05</v>
      </c>
      <c r="F1091" s="4" t="str">
        <f>"19"</f>
        <v>19</v>
      </c>
      <c r="G1091" s="4" t="s">
        <v>12</v>
      </c>
      <c r="H1091" s="5">
        <v>73.05</v>
      </c>
      <c r="I1091" s="4"/>
      <c r="J1091" s="4">
        <f>SUMPRODUCT(--((A1091=$A$3:$A$2785)*$H$3:$H$2785&gt;H1091))+1</f>
        <v>12</v>
      </c>
    </row>
    <row r="1092" s="1" customFormat="true" customHeight="true" spans="1:10">
      <c r="A1092" s="4" t="str">
        <f t="shared" si="157"/>
        <v>021</v>
      </c>
      <c r="B1092" s="4" t="s">
        <v>33</v>
      </c>
      <c r="C1092" s="4" t="str">
        <f>"陈瑶"</f>
        <v>陈瑶</v>
      </c>
      <c r="D1092" s="4" t="str">
        <f>"2021012219"</f>
        <v>2021012219</v>
      </c>
      <c r="E1092" s="4" t="str">
        <f>"22"</f>
        <v>22</v>
      </c>
      <c r="F1092" s="4" t="str">
        <f>"19"</f>
        <v>19</v>
      </c>
      <c r="G1092" s="4" t="s">
        <v>12</v>
      </c>
      <c r="H1092" s="5">
        <v>73</v>
      </c>
      <c r="I1092" s="4"/>
      <c r="J1092" s="4">
        <f>SUMPRODUCT(--((A1092=$A$3:$A$2785)*$H$3:$H$2785&gt;H1092))+1</f>
        <v>13</v>
      </c>
    </row>
    <row r="1093" s="1" customFormat="true" customHeight="true" spans="1:10">
      <c r="A1093" s="4" t="str">
        <f t="shared" si="157"/>
        <v>021</v>
      </c>
      <c r="B1093" s="4" t="s">
        <v>33</v>
      </c>
      <c r="C1093" s="4" t="str">
        <f>"周丽洁"</f>
        <v>周丽洁</v>
      </c>
      <c r="D1093" s="4" t="str">
        <f>"2021010809"</f>
        <v>2021010809</v>
      </c>
      <c r="E1093" s="4" t="str">
        <f>"08"</f>
        <v>08</v>
      </c>
      <c r="F1093" s="4" t="str">
        <f>"09"</f>
        <v>09</v>
      </c>
      <c r="G1093" s="4" t="s">
        <v>12</v>
      </c>
      <c r="H1093" s="5">
        <v>72.7</v>
      </c>
      <c r="I1093" s="4"/>
      <c r="J1093" s="4">
        <f>SUMPRODUCT(--((A1093=$A$3:$A$2785)*$H$3:$H$2785&gt;H1093))+1</f>
        <v>14</v>
      </c>
    </row>
    <row r="1094" s="1" customFormat="true" customHeight="true" spans="1:10">
      <c r="A1094" s="4" t="str">
        <f t="shared" si="157"/>
        <v>021</v>
      </c>
      <c r="B1094" s="4" t="s">
        <v>33</v>
      </c>
      <c r="C1094" s="4" t="str">
        <f>"刘群"</f>
        <v>刘群</v>
      </c>
      <c r="D1094" s="4" t="str">
        <f>"2021011520"</f>
        <v>2021011520</v>
      </c>
      <c r="E1094" s="4" t="str">
        <f>"15"</f>
        <v>15</v>
      </c>
      <c r="F1094" s="4" t="str">
        <f>"20"</f>
        <v>20</v>
      </c>
      <c r="G1094" s="4" t="s">
        <v>12</v>
      </c>
      <c r="H1094" s="5">
        <v>72.65</v>
      </c>
      <c r="I1094" s="4"/>
      <c r="J1094" s="4">
        <f>SUMPRODUCT(--((A1094=$A$3:$A$2785)*$H$3:$H$2785&gt;H1094))+1</f>
        <v>15</v>
      </c>
    </row>
    <row r="1095" s="1" customFormat="true" customHeight="true" spans="1:10">
      <c r="A1095" s="4" t="str">
        <f t="shared" si="157"/>
        <v>021</v>
      </c>
      <c r="B1095" s="4" t="s">
        <v>33</v>
      </c>
      <c r="C1095" s="4" t="str">
        <f>"向丽华"</f>
        <v>向丽华</v>
      </c>
      <c r="D1095" s="4" t="str">
        <f>"2021011311"</f>
        <v>2021011311</v>
      </c>
      <c r="E1095" s="4" t="str">
        <f>"13"</f>
        <v>13</v>
      </c>
      <c r="F1095" s="4" t="str">
        <f>"11"</f>
        <v>11</v>
      </c>
      <c r="G1095" s="4" t="s">
        <v>12</v>
      </c>
      <c r="H1095" s="5">
        <v>72.2</v>
      </c>
      <c r="I1095" s="4"/>
      <c r="J1095" s="4">
        <f>SUMPRODUCT(--((A1095=$A$3:$A$2785)*$H$3:$H$2785&gt;H1095))+1</f>
        <v>16</v>
      </c>
    </row>
    <row r="1096" s="1" customFormat="true" customHeight="true" spans="1:10">
      <c r="A1096" s="4" t="str">
        <f t="shared" si="157"/>
        <v>021</v>
      </c>
      <c r="B1096" s="4" t="s">
        <v>33</v>
      </c>
      <c r="C1096" s="4" t="str">
        <f>"熊飓"</f>
        <v>熊飓</v>
      </c>
      <c r="D1096" s="4" t="str">
        <f>"2021011212"</f>
        <v>2021011212</v>
      </c>
      <c r="E1096" s="4" t="str">
        <f>"12"</f>
        <v>12</v>
      </c>
      <c r="F1096" s="4" t="str">
        <f>"12"</f>
        <v>12</v>
      </c>
      <c r="G1096" s="4" t="s">
        <v>12</v>
      </c>
      <c r="H1096" s="5">
        <v>72.2</v>
      </c>
      <c r="I1096" s="4"/>
      <c r="J1096" s="4">
        <f>SUMPRODUCT(--((A1096=$A$3:$A$2785)*$H$3:$H$2785&gt;H1096))+1</f>
        <v>16</v>
      </c>
    </row>
    <row r="1097" s="1" customFormat="true" customHeight="true" spans="1:10">
      <c r="A1097" s="4" t="str">
        <f t="shared" si="157"/>
        <v>021</v>
      </c>
      <c r="B1097" s="4" t="s">
        <v>33</v>
      </c>
      <c r="C1097" s="4" t="str">
        <f>"夏璐"</f>
        <v>夏璐</v>
      </c>
      <c r="D1097" s="4" t="str">
        <f>"2021012309"</f>
        <v>2021012309</v>
      </c>
      <c r="E1097" s="4" t="str">
        <f>"23"</f>
        <v>23</v>
      </c>
      <c r="F1097" s="4" t="str">
        <f>"09"</f>
        <v>09</v>
      </c>
      <c r="G1097" s="4" t="s">
        <v>12</v>
      </c>
      <c r="H1097" s="5">
        <v>72.1</v>
      </c>
      <c r="I1097" s="4"/>
      <c r="J1097" s="4">
        <f>SUMPRODUCT(--((A1097=$A$3:$A$2785)*$H$3:$H$2785&gt;H1097))+1</f>
        <v>18</v>
      </c>
    </row>
    <row r="1098" s="1" customFormat="true" customHeight="true" spans="1:10">
      <c r="A1098" s="4" t="str">
        <f t="shared" si="157"/>
        <v>021</v>
      </c>
      <c r="B1098" s="4" t="s">
        <v>33</v>
      </c>
      <c r="C1098" s="4" t="str">
        <f>"田婷"</f>
        <v>田婷</v>
      </c>
      <c r="D1098" s="4" t="str">
        <f>"2021011915"</f>
        <v>2021011915</v>
      </c>
      <c r="E1098" s="4" t="str">
        <f>"19"</f>
        <v>19</v>
      </c>
      <c r="F1098" s="4" t="str">
        <f>"15"</f>
        <v>15</v>
      </c>
      <c r="G1098" s="4" t="s">
        <v>12</v>
      </c>
      <c r="H1098" s="5">
        <v>71.75</v>
      </c>
      <c r="I1098" s="4"/>
      <c r="J1098" s="4">
        <f>SUMPRODUCT(--((A1098=$A$3:$A$2785)*$H$3:$H$2785&gt;H1098))+1</f>
        <v>19</v>
      </c>
    </row>
    <row r="1099" s="1" customFormat="true" customHeight="true" spans="1:10">
      <c r="A1099" s="4" t="str">
        <f t="shared" si="157"/>
        <v>021</v>
      </c>
      <c r="B1099" s="4" t="s">
        <v>33</v>
      </c>
      <c r="C1099" s="4" t="str">
        <f>"杜敏菁"</f>
        <v>杜敏菁</v>
      </c>
      <c r="D1099" s="4" t="str">
        <f>"2021010826"</f>
        <v>2021010826</v>
      </c>
      <c r="E1099" s="4" t="str">
        <f>"08"</f>
        <v>08</v>
      </c>
      <c r="F1099" s="4" t="str">
        <f>"26"</f>
        <v>26</v>
      </c>
      <c r="G1099" s="4" t="s">
        <v>12</v>
      </c>
      <c r="H1099" s="5">
        <v>71.45</v>
      </c>
      <c r="I1099" s="4"/>
      <c r="J1099" s="4">
        <f>SUMPRODUCT(--((A1099=$A$3:$A$2785)*$H$3:$H$2785&gt;H1099))+1</f>
        <v>20</v>
      </c>
    </row>
    <row r="1100" s="1" customFormat="true" customHeight="true" spans="1:10">
      <c r="A1100" s="4" t="str">
        <f t="shared" si="157"/>
        <v>021</v>
      </c>
      <c r="B1100" s="4" t="s">
        <v>33</v>
      </c>
      <c r="C1100" s="4" t="str">
        <f>"姚水霞"</f>
        <v>姚水霞</v>
      </c>
      <c r="D1100" s="4" t="str">
        <f>"2021011404"</f>
        <v>2021011404</v>
      </c>
      <c r="E1100" s="4" t="str">
        <f>"14"</f>
        <v>14</v>
      </c>
      <c r="F1100" s="4" t="str">
        <f t="shared" ref="F1100:F1104" si="158">"04"</f>
        <v>04</v>
      </c>
      <c r="G1100" s="4" t="s">
        <v>12</v>
      </c>
      <c r="H1100" s="5">
        <v>71.45</v>
      </c>
      <c r="I1100" s="4"/>
      <c r="J1100" s="4">
        <f>SUMPRODUCT(--((A1100=$A$3:$A$2785)*$H$3:$H$2785&gt;H1100))+1</f>
        <v>20</v>
      </c>
    </row>
    <row r="1101" s="1" customFormat="true" customHeight="true" spans="1:10">
      <c r="A1101" s="4" t="str">
        <f t="shared" si="157"/>
        <v>021</v>
      </c>
      <c r="B1101" s="4" t="s">
        <v>33</v>
      </c>
      <c r="C1101" s="4" t="str">
        <f>"龙莉"</f>
        <v>龙莉</v>
      </c>
      <c r="D1101" s="4" t="str">
        <f>"2021011318"</f>
        <v>2021011318</v>
      </c>
      <c r="E1101" s="4" t="str">
        <f>"13"</f>
        <v>13</v>
      </c>
      <c r="F1101" s="4" t="str">
        <f>"18"</f>
        <v>18</v>
      </c>
      <c r="G1101" s="4" t="s">
        <v>12</v>
      </c>
      <c r="H1101" s="5">
        <v>71.2</v>
      </c>
      <c r="I1101" s="4"/>
      <c r="J1101" s="4">
        <f>SUMPRODUCT(--((A1101=$A$3:$A$2785)*$H$3:$H$2785&gt;H1101))+1</f>
        <v>22</v>
      </c>
    </row>
    <row r="1102" s="1" customFormat="true" customHeight="true" spans="1:10">
      <c r="A1102" s="4" t="str">
        <f t="shared" si="157"/>
        <v>021</v>
      </c>
      <c r="B1102" s="4" t="s">
        <v>33</v>
      </c>
      <c r="C1102" s="4" t="str">
        <f>"杨露"</f>
        <v>杨露</v>
      </c>
      <c r="D1102" s="4" t="str">
        <f>"2021011804"</f>
        <v>2021011804</v>
      </c>
      <c r="E1102" s="4" t="str">
        <f>"18"</f>
        <v>18</v>
      </c>
      <c r="F1102" s="4" t="str">
        <f t="shared" si="158"/>
        <v>04</v>
      </c>
      <c r="G1102" s="4" t="s">
        <v>12</v>
      </c>
      <c r="H1102" s="5">
        <v>71.2</v>
      </c>
      <c r="I1102" s="4"/>
      <c r="J1102" s="4">
        <f>SUMPRODUCT(--((A1102=$A$3:$A$2785)*$H$3:$H$2785&gt;H1102))+1</f>
        <v>22</v>
      </c>
    </row>
    <row r="1103" s="1" customFormat="true" customHeight="true" spans="1:10">
      <c r="A1103" s="4" t="str">
        <f t="shared" si="157"/>
        <v>021</v>
      </c>
      <c r="B1103" s="4" t="s">
        <v>33</v>
      </c>
      <c r="C1103" s="4" t="str">
        <f>"姚燕平"</f>
        <v>姚燕平</v>
      </c>
      <c r="D1103" s="4" t="str">
        <f>"2021011016"</f>
        <v>2021011016</v>
      </c>
      <c r="E1103" s="4" t="str">
        <f>"10"</f>
        <v>10</v>
      </c>
      <c r="F1103" s="4" t="str">
        <f>"16"</f>
        <v>16</v>
      </c>
      <c r="G1103" s="4" t="s">
        <v>12</v>
      </c>
      <c r="H1103" s="5">
        <v>71.1</v>
      </c>
      <c r="I1103" s="4"/>
      <c r="J1103" s="4">
        <f>SUMPRODUCT(--((A1103=$A$3:$A$2785)*$H$3:$H$2785&gt;H1103))+1</f>
        <v>24</v>
      </c>
    </row>
    <row r="1104" s="1" customFormat="true" customHeight="true" spans="1:10">
      <c r="A1104" s="4" t="str">
        <f t="shared" si="157"/>
        <v>021</v>
      </c>
      <c r="B1104" s="4" t="s">
        <v>33</v>
      </c>
      <c r="C1104" s="4" t="str">
        <f>"舒婷"</f>
        <v>舒婷</v>
      </c>
      <c r="D1104" s="4" t="str">
        <f>"2021012204"</f>
        <v>2021012204</v>
      </c>
      <c r="E1104" s="4" t="str">
        <f>"22"</f>
        <v>22</v>
      </c>
      <c r="F1104" s="4" t="str">
        <f t="shared" si="158"/>
        <v>04</v>
      </c>
      <c r="G1104" s="4" t="s">
        <v>12</v>
      </c>
      <c r="H1104" s="5">
        <v>71.1</v>
      </c>
      <c r="I1104" s="4"/>
      <c r="J1104" s="4">
        <f>SUMPRODUCT(--((A1104=$A$3:$A$2785)*$H$3:$H$2785&gt;H1104))+1</f>
        <v>24</v>
      </c>
    </row>
    <row r="1105" s="1" customFormat="true" customHeight="true" spans="1:10">
      <c r="A1105" s="4" t="str">
        <f t="shared" si="157"/>
        <v>021</v>
      </c>
      <c r="B1105" s="4" t="s">
        <v>33</v>
      </c>
      <c r="C1105" s="4" t="str">
        <f>"李莹莹"</f>
        <v>李莹莹</v>
      </c>
      <c r="D1105" s="4" t="str">
        <f>"2021012002"</f>
        <v>2021012002</v>
      </c>
      <c r="E1105" s="4" t="str">
        <f>"20"</f>
        <v>20</v>
      </c>
      <c r="F1105" s="4" t="str">
        <f>"02"</f>
        <v>02</v>
      </c>
      <c r="G1105" s="4" t="s">
        <v>12</v>
      </c>
      <c r="H1105" s="5">
        <v>71.05</v>
      </c>
      <c r="I1105" s="4"/>
      <c r="J1105" s="4">
        <f>SUMPRODUCT(--((A1105=$A$3:$A$2785)*$H$3:$H$2785&gt;H1105))+1</f>
        <v>26</v>
      </c>
    </row>
    <row r="1106" s="1" customFormat="true" customHeight="true" spans="1:10">
      <c r="A1106" s="4" t="str">
        <f t="shared" si="157"/>
        <v>021</v>
      </c>
      <c r="B1106" s="4" t="s">
        <v>33</v>
      </c>
      <c r="C1106" s="4" t="str">
        <f>"马英琪"</f>
        <v>马英琪</v>
      </c>
      <c r="D1106" s="4" t="str">
        <f>"2021012113"</f>
        <v>2021012113</v>
      </c>
      <c r="E1106" s="4" t="str">
        <f>"21"</f>
        <v>21</v>
      </c>
      <c r="F1106" s="4" t="str">
        <f>"13"</f>
        <v>13</v>
      </c>
      <c r="G1106" s="4" t="s">
        <v>12</v>
      </c>
      <c r="H1106" s="5">
        <v>70.95</v>
      </c>
      <c r="I1106" s="4"/>
      <c r="J1106" s="4">
        <f>SUMPRODUCT(--((A1106=$A$3:$A$2785)*$H$3:$H$2785&gt;H1106))+1</f>
        <v>27</v>
      </c>
    </row>
    <row r="1107" s="1" customFormat="true" customHeight="true" spans="1:10">
      <c r="A1107" s="4" t="str">
        <f t="shared" si="157"/>
        <v>021</v>
      </c>
      <c r="B1107" s="4" t="s">
        <v>33</v>
      </c>
      <c r="C1107" s="4" t="str">
        <f>"杜雅洁"</f>
        <v>杜雅洁</v>
      </c>
      <c r="D1107" s="4" t="str">
        <f>"2021012118"</f>
        <v>2021012118</v>
      </c>
      <c r="E1107" s="4" t="str">
        <f>"21"</f>
        <v>21</v>
      </c>
      <c r="F1107" s="4" t="str">
        <f>"18"</f>
        <v>18</v>
      </c>
      <c r="G1107" s="4" t="s">
        <v>12</v>
      </c>
      <c r="H1107" s="5">
        <v>70.8</v>
      </c>
      <c r="I1107" s="4"/>
      <c r="J1107" s="4">
        <f>SUMPRODUCT(--((A1107=$A$3:$A$2785)*$H$3:$H$2785&gt;H1107))+1</f>
        <v>28</v>
      </c>
    </row>
    <row r="1108" s="1" customFormat="true" customHeight="true" spans="1:10">
      <c r="A1108" s="4" t="str">
        <f t="shared" si="157"/>
        <v>021</v>
      </c>
      <c r="B1108" s="4" t="s">
        <v>33</v>
      </c>
      <c r="C1108" s="4" t="str">
        <f>"奠柳菁"</f>
        <v>奠柳菁</v>
      </c>
      <c r="D1108" s="4" t="str">
        <f>"2021010906"</f>
        <v>2021010906</v>
      </c>
      <c r="E1108" s="4" t="str">
        <f>"09"</f>
        <v>09</v>
      </c>
      <c r="F1108" s="4" t="str">
        <f>"06"</f>
        <v>06</v>
      </c>
      <c r="G1108" s="4" t="s">
        <v>12</v>
      </c>
      <c r="H1108" s="5">
        <v>70.7</v>
      </c>
      <c r="I1108" s="4"/>
      <c r="J1108" s="4">
        <f>SUMPRODUCT(--((A1108=$A$3:$A$2785)*$H$3:$H$2785&gt;H1108))+1</f>
        <v>29</v>
      </c>
    </row>
    <row r="1109" s="1" customFormat="true" customHeight="true" spans="1:10">
      <c r="A1109" s="4" t="str">
        <f t="shared" si="157"/>
        <v>021</v>
      </c>
      <c r="B1109" s="4" t="s">
        <v>33</v>
      </c>
      <c r="C1109" s="4" t="str">
        <f>"张林枝"</f>
        <v>张林枝</v>
      </c>
      <c r="D1109" s="4" t="str">
        <f>"2021011515"</f>
        <v>2021011515</v>
      </c>
      <c r="E1109" s="4" t="str">
        <f>"15"</f>
        <v>15</v>
      </c>
      <c r="F1109" s="4" t="str">
        <f>"15"</f>
        <v>15</v>
      </c>
      <c r="G1109" s="4" t="s">
        <v>12</v>
      </c>
      <c r="H1109" s="5">
        <v>70.55</v>
      </c>
      <c r="I1109" s="4"/>
      <c r="J1109" s="4">
        <f>SUMPRODUCT(--((A1109=$A$3:$A$2785)*$H$3:$H$2785&gt;H1109))+1</f>
        <v>30</v>
      </c>
    </row>
    <row r="1110" s="1" customFormat="true" customHeight="true" spans="1:10">
      <c r="A1110" s="4" t="str">
        <f t="shared" si="157"/>
        <v>021</v>
      </c>
      <c r="B1110" s="4" t="s">
        <v>33</v>
      </c>
      <c r="C1110" s="4" t="str">
        <f>"李琼"</f>
        <v>李琼</v>
      </c>
      <c r="D1110" s="4" t="str">
        <f>"2021011325"</f>
        <v>2021011325</v>
      </c>
      <c r="E1110" s="4" t="str">
        <f>"13"</f>
        <v>13</v>
      </c>
      <c r="F1110" s="4" t="str">
        <f>"25"</f>
        <v>25</v>
      </c>
      <c r="G1110" s="4" t="s">
        <v>12</v>
      </c>
      <c r="H1110" s="5">
        <v>70.5</v>
      </c>
      <c r="I1110" s="4"/>
      <c r="J1110" s="4">
        <f>SUMPRODUCT(--((A1110=$A$3:$A$2785)*$H$3:$H$2785&gt;H1110))+1</f>
        <v>31</v>
      </c>
    </row>
    <row r="1111" s="1" customFormat="true" customHeight="true" spans="1:10">
      <c r="A1111" s="4" t="str">
        <f t="shared" si="157"/>
        <v>021</v>
      </c>
      <c r="B1111" s="4" t="s">
        <v>33</v>
      </c>
      <c r="C1111" s="4" t="str">
        <f>"张一"</f>
        <v>张一</v>
      </c>
      <c r="D1111" s="4" t="str">
        <f>"2021010713"</f>
        <v>2021010713</v>
      </c>
      <c r="E1111" s="4" t="str">
        <f>"07"</f>
        <v>07</v>
      </c>
      <c r="F1111" s="4" t="str">
        <f>"13"</f>
        <v>13</v>
      </c>
      <c r="G1111" s="4" t="s">
        <v>12</v>
      </c>
      <c r="H1111" s="5">
        <v>70.35</v>
      </c>
      <c r="I1111" s="4"/>
      <c r="J1111" s="4">
        <f>SUMPRODUCT(--((A1111=$A$3:$A$2785)*$H$3:$H$2785&gt;H1111))+1</f>
        <v>32</v>
      </c>
    </row>
    <row r="1112" s="1" customFormat="true" customHeight="true" spans="1:10">
      <c r="A1112" s="4" t="str">
        <f t="shared" si="157"/>
        <v>021</v>
      </c>
      <c r="B1112" s="4" t="s">
        <v>33</v>
      </c>
      <c r="C1112" s="4" t="str">
        <f>"赵娜"</f>
        <v>赵娜</v>
      </c>
      <c r="D1112" s="4" t="str">
        <f>"2021010928"</f>
        <v>2021010928</v>
      </c>
      <c r="E1112" s="4" t="str">
        <f>"09"</f>
        <v>09</v>
      </c>
      <c r="F1112" s="4" t="str">
        <f>"28"</f>
        <v>28</v>
      </c>
      <c r="G1112" s="4" t="s">
        <v>12</v>
      </c>
      <c r="H1112" s="5">
        <v>70.25</v>
      </c>
      <c r="I1112" s="4"/>
      <c r="J1112" s="4">
        <f>SUMPRODUCT(--((A1112=$A$3:$A$2785)*$H$3:$H$2785&gt;H1112))+1</f>
        <v>33</v>
      </c>
    </row>
    <row r="1113" s="1" customFormat="true" customHeight="true" spans="1:10">
      <c r="A1113" s="4" t="str">
        <f t="shared" si="157"/>
        <v>021</v>
      </c>
      <c r="B1113" s="4" t="s">
        <v>33</v>
      </c>
      <c r="C1113" s="4" t="str">
        <f>"吴淑嫔"</f>
        <v>吴淑嫔</v>
      </c>
      <c r="D1113" s="4" t="str">
        <f>"2021012007"</f>
        <v>2021012007</v>
      </c>
      <c r="E1113" s="4" t="str">
        <f>"20"</f>
        <v>20</v>
      </c>
      <c r="F1113" s="4" t="str">
        <f>"07"</f>
        <v>07</v>
      </c>
      <c r="G1113" s="4" t="s">
        <v>12</v>
      </c>
      <c r="H1113" s="5">
        <v>69.9</v>
      </c>
      <c r="I1113" s="4"/>
      <c r="J1113" s="4">
        <f>SUMPRODUCT(--((A1113=$A$3:$A$2785)*$H$3:$H$2785&gt;H1113))+1</f>
        <v>34</v>
      </c>
    </row>
    <row r="1114" s="1" customFormat="true" customHeight="true" spans="1:10">
      <c r="A1114" s="4" t="str">
        <f t="shared" si="157"/>
        <v>021</v>
      </c>
      <c r="B1114" s="4" t="s">
        <v>33</v>
      </c>
      <c r="C1114" s="4" t="str">
        <f>"冯凯"</f>
        <v>冯凯</v>
      </c>
      <c r="D1114" s="4" t="str">
        <f>"2021011525"</f>
        <v>2021011525</v>
      </c>
      <c r="E1114" s="4" t="str">
        <f>"15"</f>
        <v>15</v>
      </c>
      <c r="F1114" s="4" t="str">
        <f>"25"</f>
        <v>25</v>
      </c>
      <c r="G1114" s="4" t="s">
        <v>12</v>
      </c>
      <c r="H1114" s="5">
        <v>69.85</v>
      </c>
      <c r="I1114" s="4"/>
      <c r="J1114" s="4">
        <f>SUMPRODUCT(--((A1114=$A$3:$A$2785)*$H$3:$H$2785&gt;H1114))+1</f>
        <v>35</v>
      </c>
    </row>
    <row r="1115" s="1" customFormat="true" customHeight="true" spans="1:10">
      <c r="A1115" s="4" t="str">
        <f t="shared" si="157"/>
        <v>021</v>
      </c>
      <c r="B1115" s="4" t="s">
        <v>33</v>
      </c>
      <c r="C1115" s="4" t="str">
        <f>"林红霞"</f>
        <v>林红霞</v>
      </c>
      <c r="D1115" s="4" t="str">
        <f>"2021011218"</f>
        <v>2021011218</v>
      </c>
      <c r="E1115" s="4" t="str">
        <f>"12"</f>
        <v>12</v>
      </c>
      <c r="F1115" s="4" t="str">
        <f>"18"</f>
        <v>18</v>
      </c>
      <c r="G1115" s="4" t="s">
        <v>12</v>
      </c>
      <c r="H1115" s="5">
        <v>69.7</v>
      </c>
      <c r="I1115" s="4"/>
      <c r="J1115" s="4">
        <f>SUMPRODUCT(--((A1115=$A$3:$A$2785)*$H$3:$H$2785&gt;H1115))+1</f>
        <v>36</v>
      </c>
    </row>
    <row r="1116" s="1" customFormat="true" customHeight="true" spans="1:10">
      <c r="A1116" s="4" t="str">
        <f t="shared" si="157"/>
        <v>021</v>
      </c>
      <c r="B1116" s="4" t="s">
        <v>33</v>
      </c>
      <c r="C1116" s="4" t="str">
        <f>"彭琪"</f>
        <v>彭琪</v>
      </c>
      <c r="D1116" s="4" t="str">
        <f>"2021012301"</f>
        <v>2021012301</v>
      </c>
      <c r="E1116" s="4" t="str">
        <f>"23"</f>
        <v>23</v>
      </c>
      <c r="F1116" s="4" t="str">
        <f>"01"</f>
        <v>01</v>
      </c>
      <c r="G1116" s="4" t="s">
        <v>12</v>
      </c>
      <c r="H1116" s="5">
        <v>69.7</v>
      </c>
      <c r="I1116" s="4"/>
      <c r="J1116" s="4">
        <f>SUMPRODUCT(--((A1116=$A$3:$A$2785)*$H$3:$H$2785&gt;H1116))+1</f>
        <v>36</v>
      </c>
    </row>
    <row r="1117" s="1" customFormat="true" customHeight="true" spans="1:10">
      <c r="A1117" s="4" t="str">
        <f t="shared" si="157"/>
        <v>021</v>
      </c>
      <c r="B1117" s="4" t="s">
        <v>33</v>
      </c>
      <c r="C1117" s="4" t="str">
        <f>"刘媛"</f>
        <v>刘媛</v>
      </c>
      <c r="D1117" s="4" t="str">
        <f>"2021010824"</f>
        <v>2021010824</v>
      </c>
      <c r="E1117" s="4" t="str">
        <f>"08"</f>
        <v>08</v>
      </c>
      <c r="F1117" s="4" t="str">
        <f>"24"</f>
        <v>24</v>
      </c>
      <c r="G1117" s="4" t="s">
        <v>12</v>
      </c>
      <c r="H1117" s="5">
        <v>69.65</v>
      </c>
      <c r="I1117" s="4"/>
      <c r="J1117" s="4">
        <f>SUMPRODUCT(--((A1117=$A$3:$A$2785)*$H$3:$H$2785&gt;H1117))+1</f>
        <v>38</v>
      </c>
    </row>
    <row r="1118" s="1" customFormat="true" customHeight="true" spans="1:10">
      <c r="A1118" s="4" t="str">
        <f t="shared" si="157"/>
        <v>021</v>
      </c>
      <c r="B1118" s="4" t="s">
        <v>33</v>
      </c>
      <c r="C1118" s="4" t="str">
        <f>"向静"</f>
        <v>向静</v>
      </c>
      <c r="D1118" s="4" t="str">
        <f>"2021011306"</f>
        <v>2021011306</v>
      </c>
      <c r="E1118" s="4" t="str">
        <f>"13"</f>
        <v>13</v>
      </c>
      <c r="F1118" s="4" t="str">
        <f>"06"</f>
        <v>06</v>
      </c>
      <c r="G1118" s="4" t="s">
        <v>12</v>
      </c>
      <c r="H1118" s="5">
        <v>69.65</v>
      </c>
      <c r="I1118" s="4"/>
      <c r="J1118" s="4">
        <f>SUMPRODUCT(--((A1118=$A$3:$A$2785)*$H$3:$H$2785&gt;H1118))+1</f>
        <v>38</v>
      </c>
    </row>
    <row r="1119" s="1" customFormat="true" customHeight="true" spans="1:10">
      <c r="A1119" s="4" t="str">
        <f t="shared" si="157"/>
        <v>021</v>
      </c>
      <c r="B1119" s="4" t="s">
        <v>33</v>
      </c>
      <c r="C1119" s="4" t="str">
        <f>"张莫柳"</f>
        <v>张莫柳</v>
      </c>
      <c r="D1119" s="4" t="str">
        <f>"2021010816"</f>
        <v>2021010816</v>
      </c>
      <c r="E1119" s="4" t="str">
        <f>"08"</f>
        <v>08</v>
      </c>
      <c r="F1119" s="4" t="str">
        <f t="shared" ref="F1119:F1124" si="159">"16"</f>
        <v>16</v>
      </c>
      <c r="G1119" s="4" t="s">
        <v>12</v>
      </c>
      <c r="H1119" s="5">
        <v>69.5</v>
      </c>
      <c r="I1119" s="4"/>
      <c r="J1119" s="4">
        <f>SUMPRODUCT(--((A1119=$A$3:$A$2785)*$H$3:$H$2785&gt;H1119))+1</f>
        <v>40</v>
      </c>
    </row>
    <row r="1120" s="1" customFormat="true" customHeight="true" spans="1:10">
      <c r="A1120" s="4" t="str">
        <f t="shared" si="157"/>
        <v>021</v>
      </c>
      <c r="B1120" s="4" t="s">
        <v>33</v>
      </c>
      <c r="C1120" s="4" t="str">
        <f>"罗凤"</f>
        <v>罗凤</v>
      </c>
      <c r="D1120" s="4" t="str">
        <f>"2021011416"</f>
        <v>2021011416</v>
      </c>
      <c r="E1120" s="4" t="str">
        <f>"14"</f>
        <v>14</v>
      </c>
      <c r="F1120" s="4" t="str">
        <f t="shared" si="159"/>
        <v>16</v>
      </c>
      <c r="G1120" s="4" t="s">
        <v>12</v>
      </c>
      <c r="H1120" s="5">
        <v>69.45</v>
      </c>
      <c r="I1120" s="4"/>
      <c r="J1120" s="4">
        <f>SUMPRODUCT(--((A1120=$A$3:$A$2785)*$H$3:$H$2785&gt;H1120))+1</f>
        <v>41</v>
      </c>
    </row>
    <row r="1121" s="1" customFormat="true" customHeight="true" spans="1:10">
      <c r="A1121" s="4" t="str">
        <f t="shared" si="157"/>
        <v>021</v>
      </c>
      <c r="B1121" s="4" t="s">
        <v>33</v>
      </c>
      <c r="C1121" s="4" t="str">
        <f>"瞿洁"</f>
        <v>瞿洁</v>
      </c>
      <c r="D1121" s="4" t="str">
        <f>"2021011703"</f>
        <v>2021011703</v>
      </c>
      <c r="E1121" s="4" t="str">
        <f>"17"</f>
        <v>17</v>
      </c>
      <c r="F1121" s="4" t="str">
        <f>"03"</f>
        <v>03</v>
      </c>
      <c r="G1121" s="4" t="s">
        <v>12</v>
      </c>
      <c r="H1121" s="5">
        <v>69.4</v>
      </c>
      <c r="I1121" s="4"/>
      <c r="J1121" s="4">
        <f>SUMPRODUCT(--((A1121=$A$3:$A$2785)*$H$3:$H$2785&gt;H1121))+1</f>
        <v>42</v>
      </c>
    </row>
    <row r="1122" s="1" customFormat="true" customHeight="true" spans="1:10">
      <c r="A1122" s="4" t="str">
        <f t="shared" si="157"/>
        <v>021</v>
      </c>
      <c r="B1122" s="4" t="s">
        <v>33</v>
      </c>
      <c r="C1122" s="4" t="str">
        <f>"韩倩"</f>
        <v>韩倩</v>
      </c>
      <c r="D1122" s="4" t="str">
        <f>"2021012010"</f>
        <v>2021012010</v>
      </c>
      <c r="E1122" s="4" t="str">
        <f>"20"</f>
        <v>20</v>
      </c>
      <c r="F1122" s="4" t="str">
        <f>"10"</f>
        <v>10</v>
      </c>
      <c r="G1122" s="4" t="s">
        <v>12</v>
      </c>
      <c r="H1122" s="5">
        <v>69.4</v>
      </c>
      <c r="I1122" s="4"/>
      <c r="J1122" s="4">
        <f>SUMPRODUCT(--((A1122=$A$3:$A$2785)*$H$3:$H$2785&gt;H1122))+1</f>
        <v>42</v>
      </c>
    </row>
    <row r="1123" s="1" customFormat="true" customHeight="true" spans="1:10">
      <c r="A1123" s="4" t="str">
        <f t="shared" si="157"/>
        <v>021</v>
      </c>
      <c r="B1123" s="4" t="s">
        <v>33</v>
      </c>
      <c r="C1123" s="4" t="str">
        <f>"郑茜"</f>
        <v>郑茜</v>
      </c>
      <c r="D1123" s="4" t="str">
        <f>"2021011813"</f>
        <v>2021011813</v>
      </c>
      <c r="E1123" s="4" t="str">
        <f>"18"</f>
        <v>18</v>
      </c>
      <c r="F1123" s="4" t="str">
        <f>"13"</f>
        <v>13</v>
      </c>
      <c r="G1123" s="4" t="s">
        <v>12</v>
      </c>
      <c r="H1123" s="5">
        <v>69.25</v>
      </c>
      <c r="I1123" s="4"/>
      <c r="J1123" s="4">
        <f>SUMPRODUCT(--((A1123=$A$3:$A$2785)*$H$3:$H$2785&gt;H1123))+1</f>
        <v>44</v>
      </c>
    </row>
    <row r="1124" s="1" customFormat="true" customHeight="true" spans="1:10">
      <c r="A1124" s="4" t="str">
        <f t="shared" si="157"/>
        <v>021</v>
      </c>
      <c r="B1124" s="4" t="s">
        <v>33</v>
      </c>
      <c r="C1124" s="4" t="str">
        <f>"蒋静"</f>
        <v>蒋静</v>
      </c>
      <c r="D1124" s="4" t="str">
        <f>"2021011316"</f>
        <v>2021011316</v>
      </c>
      <c r="E1124" s="4" t="str">
        <f>"13"</f>
        <v>13</v>
      </c>
      <c r="F1124" s="4" t="str">
        <f t="shared" si="159"/>
        <v>16</v>
      </c>
      <c r="G1124" s="4" t="s">
        <v>12</v>
      </c>
      <c r="H1124" s="5">
        <v>69.2</v>
      </c>
      <c r="I1124" s="4"/>
      <c r="J1124" s="4">
        <f>SUMPRODUCT(--((A1124=$A$3:$A$2785)*$H$3:$H$2785&gt;H1124))+1</f>
        <v>45</v>
      </c>
    </row>
    <row r="1125" s="1" customFormat="true" customHeight="true" spans="1:10">
      <c r="A1125" s="4" t="str">
        <f t="shared" si="157"/>
        <v>021</v>
      </c>
      <c r="B1125" s="4" t="s">
        <v>33</v>
      </c>
      <c r="C1125" s="4" t="str">
        <f>"钟丝弦"</f>
        <v>钟丝弦</v>
      </c>
      <c r="D1125" s="4" t="str">
        <f>"2021011507"</f>
        <v>2021011507</v>
      </c>
      <c r="E1125" s="4" t="str">
        <f>"15"</f>
        <v>15</v>
      </c>
      <c r="F1125" s="4" t="str">
        <f>"07"</f>
        <v>07</v>
      </c>
      <c r="G1125" s="4" t="s">
        <v>12</v>
      </c>
      <c r="H1125" s="5">
        <v>69.2</v>
      </c>
      <c r="I1125" s="4"/>
      <c r="J1125" s="4">
        <f>SUMPRODUCT(--((A1125=$A$3:$A$2785)*$H$3:$H$2785&gt;H1125))+1</f>
        <v>45</v>
      </c>
    </row>
    <row r="1126" s="1" customFormat="true" customHeight="true" spans="1:10">
      <c r="A1126" s="4" t="str">
        <f t="shared" si="157"/>
        <v>021</v>
      </c>
      <c r="B1126" s="4" t="s">
        <v>33</v>
      </c>
      <c r="C1126" s="4" t="str">
        <f>"丁旭妍"</f>
        <v>丁旭妍</v>
      </c>
      <c r="D1126" s="4" t="str">
        <f>"2021011112"</f>
        <v>2021011112</v>
      </c>
      <c r="E1126" s="4" t="str">
        <f>"11"</f>
        <v>11</v>
      </c>
      <c r="F1126" s="4" t="str">
        <f>"12"</f>
        <v>12</v>
      </c>
      <c r="G1126" s="4" t="s">
        <v>12</v>
      </c>
      <c r="H1126" s="5">
        <v>69.05</v>
      </c>
      <c r="I1126" s="4"/>
      <c r="J1126" s="4">
        <f>SUMPRODUCT(--((A1126=$A$3:$A$2785)*$H$3:$H$2785&gt;H1126))+1</f>
        <v>47</v>
      </c>
    </row>
    <row r="1127" s="1" customFormat="true" customHeight="true" spans="1:10">
      <c r="A1127" s="4" t="str">
        <f t="shared" si="157"/>
        <v>021</v>
      </c>
      <c r="B1127" s="4" t="s">
        <v>33</v>
      </c>
      <c r="C1127" s="4" t="str">
        <f>"彭奕敏"</f>
        <v>彭奕敏</v>
      </c>
      <c r="D1127" s="4" t="str">
        <f>"2021012311"</f>
        <v>2021012311</v>
      </c>
      <c r="E1127" s="4" t="str">
        <f>"23"</f>
        <v>23</v>
      </c>
      <c r="F1127" s="4" t="str">
        <f>"11"</f>
        <v>11</v>
      </c>
      <c r="G1127" s="4" t="s">
        <v>12</v>
      </c>
      <c r="H1127" s="5">
        <v>69.05</v>
      </c>
      <c r="I1127" s="4"/>
      <c r="J1127" s="4">
        <f>SUMPRODUCT(--((A1127=$A$3:$A$2785)*$H$3:$H$2785&gt;H1127))+1</f>
        <v>47</v>
      </c>
    </row>
    <row r="1128" s="1" customFormat="true" customHeight="true" spans="1:10">
      <c r="A1128" s="4" t="str">
        <f t="shared" si="157"/>
        <v>021</v>
      </c>
      <c r="B1128" s="4" t="s">
        <v>33</v>
      </c>
      <c r="C1128" s="4" t="str">
        <f>"杨凡"</f>
        <v>杨凡</v>
      </c>
      <c r="D1128" s="4" t="str">
        <f>"2021011226"</f>
        <v>2021011226</v>
      </c>
      <c r="E1128" s="4" t="str">
        <f>"12"</f>
        <v>12</v>
      </c>
      <c r="F1128" s="4" t="str">
        <f>"26"</f>
        <v>26</v>
      </c>
      <c r="G1128" s="4" t="s">
        <v>12</v>
      </c>
      <c r="H1128" s="5">
        <v>68.85</v>
      </c>
      <c r="I1128" s="4"/>
      <c r="J1128" s="4">
        <f>SUMPRODUCT(--((A1128=$A$3:$A$2785)*$H$3:$H$2785&gt;H1128))+1</f>
        <v>49</v>
      </c>
    </row>
    <row r="1129" s="1" customFormat="true" customHeight="true" spans="1:10">
      <c r="A1129" s="4" t="str">
        <f t="shared" si="157"/>
        <v>021</v>
      </c>
      <c r="B1129" s="4" t="s">
        <v>33</v>
      </c>
      <c r="C1129" s="4" t="str">
        <f>"张巧"</f>
        <v>张巧</v>
      </c>
      <c r="D1129" s="4" t="str">
        <f>"2021010817"</f>
        <v>2021010817</v>
      </c>
      <c r="E1129" s="4" t="str">
        <f>"08"</f>
        <v>08</v>
      </c>
      <c r="F1129" s="4" t="str">
        <f>"17"</f>
        <v>17</v>
      </c>
      <c r="G1129" s="4" t="s">
        <v>12</v>
      </c>
      <c r="H1129" s="5">
        <v>68.8</v>
      </c>
      <c r="I1129" s="4"/>
      <c r="J1129" s="4">
        <f>SUMPRODUCT(--((A1129=$A$3:$A$2785)*$H$3:$H$2785&gt;H1129))+1</f>
        <v>50</v>
      </c>
    </row>
    <row r="1130" s="1" customFormat="true" customHeight="true" spans="1:10">
      <c r="A1130" s="4" t="str">
        <f t="shared" si="157"/>
        <v>021</v>
      </c>
      <c r="B1130" s="4" t="s">
        <v>33</v>
      </c>
      <c r="C1130" s="4" t="str">
        <f>"秦芳"</f>
        <v>秦芳</v>
      </c>
      <c r="D1130" s="4" t="str">
        <f>"2021011008"</f>
        <v>2021011008</v>
      </c>
      <c r="E1130" s="4" t="str">
        <f>"10"</f>
        <v>10</v>
      </c>
      <c r="F1130" s="4" t="str">
        <f>"08"</f>
        <v>08</v>
      </c>
      <c r="G1130" s="4" t="s">
        <v>12</v>
      </c>
      <c r="H1130" s="5">
        <v>68.8</v>
      </c>
      <c r="I1130" s="4"/>
      <c r="J1130" s="4">
        <f>SUMPRODUCT(--((A1130=$A$3:$A$2785)*$H$3:$H$2785&gt;H1130))+1</f>
        <v>50</v>
      </c>
    </row>
    <row r="1131" s="1" customFormat="true" customHeight="true" spans="1:10">
      <c r="A1131" s="4" t="str">
        <f t="shared" si="157"/>
        <v>021</v>
      </c>
      <c r="B1131" s="4" t="s">
        <v>33</v>
      </c>
      <c r="C1131" s="4" t="str">
        <f>"潘璇"</f>
        <v>潘璇</v>
      </c>
      <c r="D1131" s="4" t="str">
        <f>"2021012119"</f>
        <v>2021012119</v>
      </c>
      <c r="E1131" s="4" t="str">
        <f>"21"</f>
        <v>21</v>
      </c>
      <c r="F1131" s="4" t="str">
        <f>"19"</f>
        <v>19</v>
      </c>
      <c r="G1131" s="4" t="s">
        <v>12</v>
      </c>
      <c r="H1131" s="5">
        <v>68.6</v>
      </c>
      <c r="I1131" s="4"/>
      <c r="J1131" s="4">
        <f>SUMPRODUCT(--((A1131=$A$3:$A$2785)*$H$3:$H$2785&gt;H1131))+1</f>
        <v>52</v>
      </c>
    </row>
    <row r="1132" s="1" customFormat="true" customHeight="true" spans="1:10">
      <c r="A1132" s="4" t="str">
        <f t="shared" si="157"/>
        <v>021</v>
      </c>
      <c r="B1132" s="4" t="s">
        <v>33</v>
      </c>
      <c r="C1132" s="4" t="str">
        <f>"李婷"</f>
        <v>李婷</v>
      </c>
      <c r="D1132" s="4" t="str">
        <f>"2021011519"</f>
        <v>2021011519</v>
      </c>
      <c r="E1132" s="4" t="str">
        <f>"15"</f>
        <v>15</v>
      </c>
      <c r="F1132" s="4" t="str">
        <f>"19"</f>
        <v>19</v>
      </c>
      <c r="G1132" s="4" t="s">
        <v>12</v>
      </c>
      <c r="H1132" s="5">
        <v>68.5</v>
      </c>
      <c r="I1132" s="4"/>
      <c r="J1132" s="4">
        <f>SUMPRODUCT(--((A1132=$A$3:$A$2785)*$H$3:$H$2785&gt;H1132))+1</f>
        <v>53</v>
      </c>
    </row>
    <row r="1133" s="1" customFormat="true" customHeight="true" spans="1:10">
      <c r="A1133" s="4" t="str">
        <f t="shared" si="157"/>
        <v>021</v>
      </c>
      <c r="B1133" s="4" t="s">
        <v>33</v>
      </c>
      <c r="C1133" s="4" t="str">
        <f>"张瀚文"</f>
        <v>张瀚文</v>
      </c>
      <c r="D1133" s="4" t="str">
        <f>"2021011725"</f>
        <v>2021011725</v>
      </c>
      <c r="E1133" s="4" t="str">
        <f>"17"</f>
        <v>17</v>
      </c>
      <c r="F1133" s="4" t="str">
        <f>"25"</f>
        <v>25</v>
      </c>
      <c r="G1133" s="4" t="s">
        <v>12</v>
      </c>
      <c r="H1133" s="5">
        <v>68.5</v>
      </c>
      <c r="I1133" s="4"/>
      <c r="J1133" s="4">
        <f>SUMPRODUCT(--((A1133=$A$3:$A$2785)*$H$3:$H$2785&gt;H1133))+1</f>
        <v>53</v>
      </c>
    </row>
    <row r="1134" s="1" customFormat="true" customHeight="true" spans="1:10">
      <c r="A1134" s="4" t="str">
        <f t="shared" si="157"/>
        <v>021</v>
      </c>
      <c r="B1134" s="4" t="s">
        <v>33</v>
      </c>
      <c r="C1134" s="4" t="str">
        <f>"吴君君"</f>
        <v>吴君君</v>
      </c>
      <c r="D1134" s="4" t="str">
        <f>"2021010521"</f>
        <v>2021010521</v>
      </c>
      <c r="E1134" s="4" t="str">
        <f>"05"</f>
        <v>05</v>
      </c>
      <c r="F1134" s="4" t="str">
        <f>"21"</f>
        <v>21</v>
      </c>
      <c r="G1134" s="4" t="s">
        <v>12</v>
      </c>
      <c r="H1134" s="5">
        <v>68.4</v>
      </c>
      <c r="I1134" s="4"/>
      <c r="J1134" s="4">
        <f>SUMPRODUCT(--((A1134=$A$3:$A$2785)*$H$3:$H$2785&gt;H1134))+1</f>
        <v>55</v>
      </c>
    </row>
    <row r="1135" s="1" customFormat="true" customHeight="true" spans="1:10">
      <c r="A1135" s="4" t="str">
        <f t="shared" si="157"/>
        <v>021</v>
      </c>
      <c r="B1135" s="4" t="s">
        <v>33</v>
      </c>
      <c r="C1135" s="4" t="str">
        <f>"王桂英"</f>
        <v>王桂英</v>
      </c>
      <c r="D1135" s="4" t="str">
        <f>"2021012127"</f>
        <v>2021012127</v>
      </c>
      <c r="E1135" s="4" t="str">
        <f>"21"</f>
        <v>21</v>
      </c>
      <c r="F1135" s="4" t="str">
        <f t="shared" ref="F1135:F1139" si="160">"27"</f>
        <v>27</v>
      </c>
      <c r="G1135" s="4" t="s">
        <v>12</v>
      </c>
      <c r="H1135" s="5">
        <v>68.4</v>
      </c>
      <c r="I1135" s="4"/>
      <c r="J1135" s="4">
        <f>SUMPRODUCT(--((A1135=$A$3:$A$2785)*$H$3:$H$2785&gt;H1135))+1</f>
        <v>55</v>
      </c>
    </row>
    <row r="1136" s="1" customFormat="true" customHeight="true" spans="1:10">
      <c r="A1136" s="4" t="str">
        <f t="shared" si="157"/>
        <v>021</v>
      </c>
      <c r="B1136" s="4" t="s">
        <v>33</v>
      </c>
      <c r="C1136" s="4" t="str">
        <f>"李丽芳"</f>
        <v>李丽芳</v>
      </c>
      <c r="D1136" s="4" t="str">
        <f>"2021011723"</f>
        <v>2021011723</v>
      </c>
      <c r="E1136" s="4" t="str">
        <f>"17"</f>
        <v>17</v>
      </c>
      <c r="F1136" s="4" t="str">
        <f>"23"</f>
        <v>23</v>
      </c>
      <c r="G1136" s="4" t="s">
        <v>12</v>
      </c>
      <c r="H1136" s="5">
        <v>68.35</v>
      </c>
      <c r="I1136" s="4"/>
      <c r="J1136" s="4">
        <f>SUMPRODUCT(--((A1136=$A$3:$A$2785)*$H$3:$H$2785&gt;H1136))+1</f>
        <v>57</v>
      </c>
    </row>
    <row r="1137" s="1" customFormat="true" customHeight="true" spans="1:10">
      <c r="A1137" s="4" t="str">
        <f t="shared" si="157"/>
        <v>021</v>
      </c>
      <c r="B1137" s="4" t="s">
        <v>33</v>
      </c>
      <c r="C1137" s="4" t="str">
        <f>"米紫钰"</f>
        <v>米紫钰</v>
      </c>
      <c r="D1137" s="4" t="str">
        <f>"2021011221"</f>
        <v>2021011221</v>
      </c>
      <c r="E1137" s="4" t="str">
        <f>"12"</f>
        <v>12</v>
      </c>
      <c r="F1137" s="4" t="str">
        <f>"21"</f>
        <v>21</v>
      </c>
      <c r="G1137" s="4" t="s">
        <v>12</v>
      </c>
      <c r="H1137" s="5">
        <v>68.25</v>
      </c>
      <c r="I1137" s="4"/>
      <c r="J1137" s="4">
        <f>SUMPRODUCT(--((A1137=$A$3:$A$2785)*$H$3:$H$2785&gt;H1137))+1</f>
        <v>58</v>
      </c>
    </row>
    <row r="1138" s="1" customFormat="true" customHeight="true" spans="1:10">
      <c r="A1138" s="4" t="str">
        <f t="shared" si="157"/>
        <v>021</v>
      </c>
      <c r="B1138" s="4" t="s">
        <v>33</v>
      </c>
      <c r="C1138" s="4" t="str">
        <f>"唐鸿杰"</f>
        <v>唐鸿杰</v>
      </c>
      <c r="D1138" s="4" t="str">
        <f>"2021012027"</f>
        <v>2021012027</v>
      </c>
      <c r="E1138" s="4" t="str">
        <f>"20"</f>
        <v>20</v>
      </c>
      <c r="F1138" s="4" t="str">
        <f t="shared" si="160"/>
        <v>27</v>
      </c>
      <c r="G1138" s="4" t="s">
        <v>12</v>
      </c>
      <c r="H1138" s="5">
        <v>68.15</v>
      </c>
      <c r="I1138" s="4"/>
      <c r="J1138" s="4">
        <f>SUMPRODUCT(--((A1138=$A$3:$A$2785)*$H$3:$H$2785&gt;H1138))+1</f>
        <v>59</v>
      </c>
    </row>
    <row r="1139" s="1" customFormat="true" customHeight="true" spans="1:10">
      <c r="A1139" s="4" t="str">
        <f t="shared" si="157"/>
        <v>021</v>
      </c>
      <c r="B1139" s="4" t="s">
        <v>33</v>
      </c>
      <c r="C1139" s="4" t="str">
        <f>"龚芙蓉"</f>
        <v>龚芙蓉</v>
      </c>
      <c r="D1139" s="4" t="str">
        <f>"2021011327"</f>
        <v>2021011327</v>
      </c>
      <c r="E1139" s="4" t="str">
        <f>"13"</f>
        <v>13</v>
      </c>
      <c r="F1139" s="4" t="str">
        <f t="shared" si="160"/>
        <v>27</v>
      </c>
      <c r="G1139" s="4" t="s">
        <v>12</v>
      </c>
      <c r="H1139" s="5">
        <v>68.1</v>
      </c>
      <c r="I1139" s="4"/>
      <c r="J1139" s="4">
        <f>SUMPRODUCT(--((A1139=$A$3:$A$2785)*$H$3:$H$2785&gt;H1139))+1</f>
        <v>60</v>
      </c>
    </row>
    <row r="1140" s="1" customFormat="true" customHeight="true" spans="1:10">
      <c r="A1140" s="4" t="str">
        <f t="shared" si="157"/>
        <v>021</v>
      </c>
      <c r="B1140" s="4" t="s">
        <v>33</v>
      </c>
      <c r="C1140" s="4" t="str">
        <f>"许倩"</f>
        <v>许倩</v>
      </c>
      <c r="D1140" s="4" t="str">
        <f>"2021011903"</f>
        <v>2021011903</v>
      </c>
      <c r="E1140" s="4" t="str">
        <f>"19"</f>
        <v>19</v>
      </c>
      <c r="F1140" s="4" t="str">
        <f>"03"</f>
        <v>03</v>
      </c>
      <c r="G1140" s="4" t="s">
        <v>12</v>
      </c>
      <c r="H1140" s="5">
        <v>68.1</v>
      </c>
      <c r="I1140" s="4"/>
      <c r="J1140" s="4">
        <f>SUMPRODUCT(--((A1140=$A$3:$A$2785)*$H$3:$H$2785&gt;H1140))+1</f>
        <v>60</v>
      </c>
    </row>
    <row r="1141" s="1" customFormat="true" customHeight="true" spans="1:10">
      <c r="A1141" s="4" t="str">
        <f t="shared" si="157"/>
        <v>021</v>
      </c>
      <c r="B1141" s="4" t="s">
        <v>33</v>
      </c>
      <c r="C1141" s="4" t="str">
        <f>"石艳霞"</f>
        <v>石艳霞</v>
      </c>
      <c r="D1141" s="4" t="str">
        <f>"2021011615"</f>
        <v>2021011615</v>
      </c>
      <c r="E1141" s="4" t="str">
        <f>"16"</f>
        <v>16</v>
      </c>
      <c r="F1141" s="4" t="str">
        <f>"15"</f>
        <v>15</v>
      </c>
      <c r="G1141" s="4" t="s">
        <v>12</v>
      </c>
      <c r="H1141" s="5">
        <v>68.05</v>
      </c>
      <c r="I1141" s="4"/>
      <c r="J1141" s="4">
        <f>SUMPRODUCT(--((A1141=$A$3:$A$2785)*$H$3:$H$2785&gt;H1141))+1</f>
        <v>62</v>
      </c>
    </row>
    <row r="1142" s="1" customFormat="true" customHeight="true" spans="1:10">
      <c r="A1142" s="4" t="str">
        <f t="shared" si="157"/>
        <v>021</v>
      </c>
      <c r="B1142" s="4" t="s">
        <v>33</v>
      </c>
      <c r="C1142" s="4" t="str">
        <f>"唐胜男"</f>
        <v>唐胜男</v>
      </c>
      <c r="D1142" s="4" t="str">
        <f>"2021010818"</f>
        <v>2021010818</v>
      </c>
      <c r="E1142" s="4" t="str">
        <f>"08"</f>
        <v>08</v>
      </c>
      <c r="F1142" s="4" t="str">
        <f>"18"</f>
        <v>18</v>
      </c>
      <c r="G1142" s="4" t="s">
        <v>12</v>
      </c>
      <c r="H1142" s="5">
        <v>67.85</v>
      </c>
      <c r="I1142" s="4"/>
      <c r="J1142" s="4">
        <f>SUMPRODUCT(--((A1142=$A$3:$A$2785)*$H$3:$H$2785&gt;H1142))+1</f>
        <v>63</v>
      </c>
    </row>
    <row r="1143" s="1" customFormat="true" customHeight="true" spans="1:10">
      <c r="A1143" s="4" t="str">
        <f t="shared" si="157"/>
        <v>021</v>
      </c>
      <c r="B1143" s="4" t="s">
        <v>33</v>
      </c>
      <c r="C1143" s="4" t="str">
        <f>"张旖旎"</f>
        <v>张旖旎</v>
      </c>
      <c r="D1143" s="4" t="str">
        <f>"2021010605"</f>
        <v>2021010605</v>
      </c>
      <c r="E1143" s="4" t="str">
        <f>"06"</f>
        <v>06</v>
      </c>
      <c r="F1143" s="4" t="str">
        <f>"05"</f>
        <v>05</v>
      </c>
      <c r="G1143" s="4" t="s">
        <v>12</v>
      </c>
      <c r="H1143" s="5">
        <v>67.75</v>
      </c>
      <c r="I1143" s="4"/>
      <c r="J1143" s="4">
        <f>SUMPRODUCT(--((A1143=$A$3:$A$2785)*$H$3:$H$2785&gt;H1143))+1</f>
        <v>64</v>
      </c>
    </row>
    <row r="1144" s="1" customFormat="true" customHeight="true" spans="1:10">
      <c r="A1144" s="4" t="str">
        <f t="shared" ref="A1144:A1207" si="161">"021"</f>
        <v>021</v>
      </c>
      <c r="B1144" s="4" t="s">
        <v>33</v>
      </c>
      <c r="C1144" s="4" t="str">
        <f>"谯小梦"</f>
        <v>谯小梦</v>
      </c>
      <c r="D1144" s="4" t="str">
        <f>"2021011117"</f>
        <v>2021011117</v>
      </c>
      <c r="E1144" s="4" t="str">
        <f>"11"</f>
        <v>11</v>
      </c>
      <c r="F1144" s="4" t="str">
        <f>"17"</f>
        <v>17</v>
      </c>
      <c r="G1144" s="4" t="s">
        <v>12</v>
      </c>
      <c r="H1144" s="5">
        <v>67.45</v>
      </c>
      <c r="I1144" s="4"/>
      <c r="J1144" s="4">
        <f>SUMPRODUCT(--((A1144=$A$3:$A$2785)*$H$3:$H$2785&gt;H1144))+1</f>
        <v>65</v>
      </c>
    </row>
    <row r="1145" s="1" customFormat="true" customHeight="true" spans="1:10">
      <c r="A1145" s="4" t="str">
        <f t="shared" si="161"/>
        <v>021</v>
      </c>
      <c r="B1145" s="4" t="s">
        <v>33</v>
      </c>
      <c r="C1145" s="4" t="str">
        <f>"万意"</f>
        <v>万意</v>
      </c>
      <c r="D1145" s="4" t="str">
        <f>"2021011701"</f>
        <v>2021011701</v>
      </c>
      <c r="E1145" s="4" t="str">
        <f>"17"</f>
        <v>17</v>
      </c>
      <c r="F1145" s="4" t="str">
        <f>"01"</f>
        <v>01</v>
      </c>
      <c r="G1145" s="4" t="s">
        <v>12</v>
      </c>
      <c r="H1145" s="5">
        <v>67.4</v>
      </c>
      <c r="I1145" s="4"/>
      <c r="J1145" s="4">
        <f>SUMPRODUCT(--((A1145=$A$3:$A$2785)*$H$3:$H$2785&gt;H1145))+1</f>
        <v>66</v>
      </c>
    </row>
    <row r="1146" s="1" customFormat="true" customHeight="true" spans="1:10">
      <c r="A1146" s="4" t="str">
        <f t="shared" si="161"/>
        <v>021</v>
      </c>
      <c r="B1146" s="4" t="s">
        <v>33</v>
      </c>
      <c r="C1146" s="4" t="str">
        <f>"郑仕兰"</f>
        <v>郑仕兰</v>
      </c>
      <c r="D1146" s="4" t="str">
        <f>"2021010719"</f>
        <v>2021010719</v>
      </c>
      <c r="E1146" s="4" t="str">
        <f>"07"</f>
        <v>07</v>
      </c>
      <c r="F1146" s="4" t="str">
        <f>"19"</f>
        <v>19</v>
      </c>
      <c r="G1146" s="4" t="s">
        <v>12</v>
      </c>
      <c r="H1146" s="5">
        <v>67.35</v>
      </c>
      <c r="I1146" s="4"/>
      <c r="J1146" s="4">
        <f>SUMPRODUCT(--((A1146=$A$3:$A$2785)*$H$3:$H$2785&gt;H1146))+1</f>
        <v>67</v>
      </c>
    </row>
    <row r="1147" s="1" customFormat="true" customHeight="true" spans="1:10">
      <c r="A1147" s="4" t="str">
        <f t="shared" si="161"/>
        <v>021</v>
      </c>
      <c r="B1147" s="4" t="s">
        <v>33</v>
      </c>
      <c r="C1147" s="4" t="str">
        <f>"李红亚"</f>
        <v>李红亚</v>
      </c>
      <c r="D1147" s="4" t="str">
        <f>"2021011119"</f>
        <v>2021011119</v>
      </c>
      <c r="E1147" s="4" t="str">
        <f>"11"</f>
        <v>11</v>
      </c>
      <c r="F1147" s="4" t="str">
        <f>"19"</f>
        <v>19</v>
      </c>
      <c r="G1147" s="4" t="s">
        <v>12</v>
      </c>
      <c r="H1147" s="5">
        <v>67.35</v>
      </c>
      <c r="I1147" s="4"/>
      <c r="J1147" s="4">
        <f>SUMPRODUCT(--((A1147=$A$3:$A$2785)*$H$3:$H$2785&gt;H1147))+1</f>
        <v>67</v>
      </c>
    </row>
    <row r="1148" s="1" customFormat="true" customHeight="true" spans="1:10">
      <c r="A1148" s="4" t="str">
        <f t="shared" si="161"/>
        <v>021</v>
      </c>
      <c r="B1148" s="4" t="s">
        <v>33</v>
      </c>
      <c r="C1148" s="4" t="str">
        <f>"陈梦琪"</f>
        <v>陈梦琪</v>
      </c>
      <c r="D1148" s="4" t="str">
        <f>"2021012308"</f>
        <v>2021012308</v>
      </c>
      <c r="E1148" s="4" t="str">
        <f>"23"</f>
        <v>23</v>
      </c>
      <c r="F1148" s="4" t="str">
        <f>"08"</f>
        <v>08</v>
      </c>
      <c r="G1148" s="4" t="s">
        <v>12</v>
      </c>
      <c r="H1148" s="5">
        <v>67.35</v>
      </c>
      <c r="I1148" s="4"/>
      <c r="J1148" s="4">
        <f>SUMPRODUCT(--((A1148=$A$3:$A$2785)*$H$3:$H$2785&gt;H1148))+1</f>
        <v>67</v>
      </c>
    </row>
    <row r="1149" s="1" customFormat="true" customHeight="true" spans="1:10">
      <c r="A1149" s="4" t="str">
        <f t="shared" si="161"/>
        <v>021</v>
      </c>
      <c r="B1149" s="4" t="s">
        <v>33</v>
      </c>
      <c r="C1149" s="4" t="str">
        <f>"向谊萱"</f>
        <v>向谊萱</v>
      </c>
      <c r="D1149" s="4" t="str">
        <f>"2021011818"</f>
        <v>2021011818</v>
      </c>
      <c r="E1149" s="4" t="str">
        <f>"18"</f>
        <v>18</v>
      </c>
      <c r="F1149" s="4" t="str">
        <f>"18"</f>
        <v>18</v>
      </c>
      <c r="G1149" s="4" t="s">
        <v>12</v>
      </c>
      <c r="H1149" s="5">
        <v>67.25</v>
      </c>
      <c r="I1149" s="4"/>
      <c r="J1149" s="4">
        <f>SUMPRODUCT(--((A1149=$A$3:$A$2785)*$H$3:$H$2785&gt;H1149))+1</f>
        <v>70</v>
      </c>
    </row>
    <row r="1150" s="1" customFormat="true" customHeight="true" spans="1:10">
      <c r="A1150" s="4" t="str">
        <f t="shared" si="161"/>
        <v>021</v>
      </c>
      <c r="B1150" s="4" t="s">
        <v>33</v>
      </c>
      <c r="C1150" s="4" t="str">
        <f>"罗园园"</f>
        <v>罗园园</v>
      </c>
      <c r="D1150" s="4" t="str">
        <f>"2021011426"</f>
        <v>2021011426</v>
      </c>
      <c r="E1150" s="4" t="str">
        <f>"14"</f>
        <v>14</v>
      </c>
      <c r="F1150" s="4" t="str">
        <f>"26"</f>
        <v>26</v>
      </c>
      <c r="G1150" s="4" t="s">
        <v>12</v>
      </c>
      <c r="H1150" s="5">
        <v>67.2</v>
      </c>
      <c r="I1150" s="4"/>
      <c r="J1150" s="4">
        <f>SUMPRODUCT(--((A1150=$A$3:$A$2785)*$H$3:$H$2785&gt;H1150))+1</f>
        <v>71</v>
      </c>
    </row>
    <row r="1151" s="1" customFormat="true" customHeight="true" spans="1:10">
      <c r="A1151" s="4" t="str">
        <f t="shared" si="161"/>
        <v>021</v>
      </c>
      <c r="B1151" s="4" t="s">
        <v>33</v>
      </c>
      <c r="C1151" s="4" t="str">
        <f>"向婷"</f>
        <v>向婷</v>
      </c>
      <c r="D1151" s="4" t="str">
        <f>"2021010630"</f>
        <v>2021010630</v>
      </c>
      <c r="E1151" s="4" t="str">
        <f>"06"</f>
        <v>06</v>
      </c>
      <c r="F1151" s="4" t="str">
        <f>"30"</f>
        <v>30</v>
      </c>
      <c r="G1151" s="4" t="s">
        <v>12</v>
      </c>
      <c r="H1151" s="5">
        <v>67.15</v>
      </c>
      <c r="I1151" s="4"/>
      <c r="J1151" s="4">
        <f>SUMPRODUCT(--((A1151=$A$3:$A$2785)*$H$3:$H$2785&gt;H1151))+1</f>
        <v>72</v>
      </c>
    </row>
    <row r="1152" s="1" customFormat="true" customHeight="true" spans="1:10">
      <c r="A1152" s="4" t="str">
        <f t="shared" si="161"/>
        <v>021</v>
      </c>
      <c r="B1152" s="4" t="s">
        <v>33</v>
      </c>
      <c r="C1152" s="4" t="str">
        <f>"刘海媚"</f>
        <v>刘海媚</v>
      </c>
      <c r="D1152" s="4" t="str">
        <f>"2021011603"</f>
        <v>2021011603</v>
      </c>
      <c r="E1152" s="4" t="str">
        <f>"16"</f>
        <v>16</v>
      </c>
      <c r="F1152" s="4" t="str">
        <f>"03"</f>
        <v>03</v>
      </c>
      <c r="G1152" s="4" t="s">
        <v>12</v>
      </c>
      <c r="H1152" s="5">
        <v>66.95</v>
      </c>
      <c r="I1152" s="4"/>
      <c r="J1152" s="4">
        <f>SUMPRODUCT(--((A1152=$A$3:$A$2785)*$H$3:$H$2785&gt;H1152))+1</f>
        <v>73</v>
      </c>
    </row>
    <row r="1153" s="1" customFormat="true" customHeight="true" spans="1:10">
      <c r="A1153" s="4" t="str">
        <f t="shared" si="161"/>
        <v>021</v>
      </c>
      <c r="B1153" s="4" t="s">
        <v>33</v>
      </c>
      <c r="C1153" s="4" t="str">
        <f>"粟平平"</f>
        <v>粟平平</v>
      </c>
      <c r="D1153" s="4" t="str">
        <f>"2021011820"</f>
        <v>2021011820</v>
      </c>
      <c r="E1153" s="4" t="str">
        <f>"18"</f>
        <v>18</v>
      </c>
      <c r="F1153" s="4" t="str">
        <f>"20"</f>
        <v>20</v>
      </c>
      <c r="G1153" s="4" t="s">
        <v>12</v>
      </c>
      <c r="H1153" s="5">
        <v>66.9</v>
      </c>
      <c r="I1153" s="4"/>
      <c r="J1153" s="4">
        <f>SUMPRODUCT(--((A1153=$A$3:$A$2785)*$H$3:$H$2785&gt;H1153))+1</f>
        <v>74</v>
      </c>
    </row>
    <row r="1154" s="1" customFormat="true" customHeight="true" spans="1:10">
      <c r="A1154" s="4" t="str">
        <f t="shared" si="161"/>
        <v>021</v>
      </c>
      <c r="B1154" s="4" t="s">
        <v>33</v>
      </c>
      <c r="C1154" s="4" t="str">
        <f>"张琳"</f>
        <v>张琳</v>
      </c>
      <c r="D1154" s="4" t="str">
        <f>"2021011403"</f>
        <v>2021011403</v>
      </c>
      <c r="E1154" s="4" t="str">
        <f>"14"</f>
        <v>14</v>
      </c>
      <c r="F1154" s="4" t="str">
        <f>"03"</f>
        <v>03</v>
      </c>
      <c r="G1154" s="4" t="s">
        <v>12</v>
      </c>
      <c r="H1154" s="5">
        <v>66.7</v>
      </c>
      <c r="I1154" s="4"/>
      <c r="J1154" s="4">
        <f>SUMPRODUCT(--((A1154=$A$3:$A$2785)*$H$3:$H$2785&gt;H1154))+1</f>
        <v>75</v>
      </c>
    </row>
    <row r="1155" s="1" customFormat="true" customHeight="true" spans="1:10">
      <c r="A1155" s="4" t="str">
        <f t="shared" si="161"/>
        <v>021</v>
      </c>
      <c r="B1155" s="4" t="s">
        <v>33</v>
      </c>
      <c r="C1155" s="4" t="str">
        <f>"肖三玲"</f>
        <v>肖三玲</v>
      </c>
      <c r="D1155" s="4" t="str">
        <f>"2021010526"</f>
        <v>2021010526</v>
      </c>
      <c r="E1155" s="4" t="str">
        <f>"05"</f>
        <v>05</v>
      </c>
      <c r="F1155" s="4" t="str">
        <f>"26"</f>
        <v>26</v>
      </c>
      <c r="G1155" s="4" t="s">
        <v>12</v>
      </c>
      <c r="H1155" s="5">
        <v>66.6</v>
      </c>
      <c r="I1155" s="4"/>
      <c r="J1155" s="4">
        <f>SUMPRODUCT(--((A1155=$A$3:$A$2785)*$H$3:$H$2785&gt;H1155))+1</f>
        <v>76</v>
      </c>
    </row>
    <row r="1156" s="1" customFormat="true" customHeight="true" spans="1:10">
      <c r="A1156" s="4" t="str">
        <f t="shared" si="161"/>
        <v>021</v>
      </c>
      <c r="B1156" s="4" t="s">
        <v>33</v>
      </c>
      <c r="C1156" s="4" t="str">
        <f>"李梦媛"</f>
        <v>李梦媛</v>
      </c>
      <c r="D1156" s="4" t="str">
        <f>"2021012226"</f>
        <v>2021012226</v>
      </c>
      <c r="E1156" s="4" t="str">
        <f>"22"</f>
        <v>22</v>
      </c>
      <c r="F1156" s="4" t="str">
        <f>"26"</f>
        <v>26</v>
      </c>
      <c r="G1156" s="4" t="s">
        <v>12</v>
      </c>
      <c r="H1156" s="5">
        <v>66.6</v>
      </c>
      <c r="I1156" s="4"/>
      <c r="J1156" s="4">
        <f>SUMPRODUCT(--((A1156=$A$3:$A$2785)*$H$3:$H$2785&gt;H1156))+1</f>
        <v>76</v>
      </c>
    </row>
    <row r="1157" s="1" customFormat="true" customHeight="true" spans="1:10">
      <c r="A1157" s="4" t="str">
        <f t="shared" si="161"/>
        <v>021</v>
      </c>
      <c r="B1157" s="4" t="s">
        <v>33</v>
      </c>
      <c r="C1157" s="4" t="str">
        <f>"向爱平"</f>
        <v>向爱平</v>
      </c>
      <c r="D1157" s="4" t="str">
        <f>"2021011211"</f>
        <v>2021011211</v>
      </c>
      <c r="E1157" s="4" t="str">
        <f>"12"</f>
        <v>12</v>
      </c>
      <c r="F1157" s="4" t="str">
        <f>"11"</f>
        <v>11</v>
      </c>
      <c r="G1157" s="4" t="s">
        <v>12</v>
      </c>
      <c r="H1157" s="5">
        <v>66.4</v>
      </c>
      <c r="I1157" s="4"/>
      <c r="J1157" s="4">
        <f>SUMPRODUCT(--((A1157=$A$3:$A$2785)*$H$3:$H$2785&gt;H1157))+1</f>
        <v>78</v>
      </c>
    </row>
    <row r="1158" s="1" customFormat="true" customHeight="true" spans="1:10">
      <c r="A1158" s="4" t="str">
        <f t="shared" si="161"/>
        <v>021</v>
      </c>
      <c r="B1158" s="4" t="s">
        <v>33</v>
      </c>
      <c r="C1158" s="4" t="str">
        <f>"罗琪"</f>
        <v>罗琪</v>
      </c>
      <c r="D1158" s="4" t="str">
        <f>"2021011127"</f>
        <v>2021011127</v>
      </c>
      <c r="E1158" s="4" t="str">
        <f>"11"</f>
        <v>11</v>
      </c>
      <c r="F1158" s="4" t="str">
        <f>"27"</f>
        <v>27</v>
      </c>
      <c r="G1158" s="4" t="s">
        <v>12</v>
      </c>
      <c r="H1158" s="5">
        <v>66.3</v>
      </c>
      <c r="I1158" s="4"/>
      <c r="J1158" s="4">
        <f>SUMPRODUCT(--((A1158=$A$3:$A$2785)*$H$3:$H$2785&gt;H1158))+1</f>
        <v>79</v>
      </c>
    </row>
    <row r="1159" s="1" customFormat="true" customHeight="true" spans="1:10">
      <c r="A1159" s="4" t="str">
        <f t="shared" si="161"/>
        <v>021</v>
      </c>
      <c r="B1159" s="4" t="s">
        <v>33</v>
      </c>
      <c r="C1159" s="4" t="str">
        <f>"吴泳霖"</f>
        <v>吴泳霖</v>
      </c>
      <c r="D1159" s="4" t="str">
        <f>"2021012102"</f>
        <v>2021012102</v>
      </c>
      <c r="E1159" s="4" t="str">
        <f>"21"</f>
        <v>21</v>
      </c>
      <c r="F1159" s="4" t="str">
        <f>"02"</f>
        <v>02</v>
      </c>
      <c r="G1159" s="4" t="s">
        <v>12</v>
      </c>
      <c r="H1159" s="5">
        <v>66.25</v>
      </c>
      <c r="I1159" s="4"/>
      <c r="J1159" s="4">
        <f>SUMPRODUCT(--((A1159=$A$3:$A$2785)*$H$3:$H$2785&gt;H1159))+1</f>
        <v>80</v>
      </c>
    </row>
    <row r="1160" s="1" customFormat="true" customHeight="true" spans="1:10">
      <c r="A1160" s="4" t="str">
        <f t="shared" si="161"/>
        <v>021</v>
      </c>
      <c r="B1160" s="4" t="s">
        <v>33</v>
      </c>
      <c r="C1160" s="4" t="str">
        <f>"周子欣"</f>
        <v>周子欣</v>
      </c>
      <c r="D1160" s="4" t="str">
        <f>"2021010909"</f>
        <v>2021010909</v>
      </c>
      <c r="E1160" s="4" t="str">
        <f>"09"</f>
        <v>09</v>
      </c>
      <c r="F1160" s="4" t="str">
        <f>"09"</f>
        <v>09</v>
      </c>
      <c r="G1160" s="4" t="s">
        <v>12</v>
      </c>
      <c r="H1160" s="5">
        <v>66.15</v>
      </c>
      <c r="I1160" s="4"/>
      <c r="J1160" s="4">
        <f>SUMPRODUCT(--((A1160=$A$3:$A$2785)*$H$3:$H$2785&gt;H1160))+1</f>
        <v>81</v>
      </c>
    </row>
    <row r="1161" s="1" customFormat="true" customHeight="true" spans="1:10">
      <c r="A1161" s="4" t="str">
        <f t="shared" si="161"/>
        <v>021</v>
      </c>
      <c r="B1161" s="4" t="s">
        <v>33</v>
      </c>
      <c r="C1161" s="4" t="str">
        <f>"孙兰兰"</f>
        <v>孙兰兰</v>
      </c>
      <c r="D1161" s="4" t="str">
        <f>"2021012307"</f>
        <v>2021012307</v>
      </c>
      <c r="E1161" s="4" t="str">
        <f>"23"</f>
        <v>23</v>
      </c>
      <c r="F1161" s="4" t="str">
        <f>"07"</f>
        <v>07</v>
      </c>
      <c r="G1161" s="4" t="s">
        <v>12</v>
      </c>
      <c r="H1161" s="5">
        <v>66.1</v>
      </c>
      <c r="I1161" s="4"/>
      <c r="J1161" s="4">
        <f>SUMPRODUCT(--((A1161=$A$3:$A$2785)*$H$3:$H$2785&gt;H1161))+1</f>
        <v>82</v>
      </c>
    </row>
    <row r="1162" s="1" customFormat="true" customHeight="true" spans="1:10">
      <c r="A1162" s="4" t="str">
        <f t="shared" si="161"/>
        <v>021</v>
      </c>
      <c r="B1162" s="4" t="s">
        <v>33</v>
      </c>
      <c r="C1162" s="4" t="str">
        <f>"杨雪"</f>
        <v>杨雪</v>
      </c>
      <c r="D1162" s="4" t="str">
        <f>"2021011422"</f>
        <v>2021011422</v>
      </c>
      <c r="E1162" s="4" t="str">
        <f>"14"</f>
        <v>14</v>
      </c>
      <c r="F1162" s="4" t="str">
        <f>"22"</f>
        <v>22</v>
      </c>
      <c r="G1162" s="4" t="s">
        <v>12</v>
      </c>
      <c r="H1162" s="5">
        <v>66</v>
      </c>
      <c r="I1162" s="4"/>
      <c r="J1162" s="4">
        <f>SUMPRODUCT(--((A1162=$A$3:$A$2785)*$H$3:$H$2785&gt;H1162))+1</f>
        <v>83</v>
      </c>
    </row>
    <row r="1163" s="1" customFormat="true" customHeight="true" spans="1:10">
      <c r="A1163" s="4" t="str">
        <f t="shared" si="161"/>
        <v>021</v>
      </c>
      <c r="B1163" s="4" t="s">
        <v>33</v>
      </c>
      <c r="C1163" s="4" t="str">
        <f>"张翠翠"</f>
        <v>张翠翠</v>
      </c>
      <c r="D1163" s="4" t="str">
        <f>"2021010515"</f>
        <v>2021010515</v>
      </c>
      <c r="E1163" s="4" t="str">
        <f>"05"</f>
        <v>05</v>
      </c>
      <c r="F1163" s="4" t="str">
        <f>"15"</f>
        <v>15</v>
      </c>
      <c r="G1163" s="4" t="s">
        <v>12</v>
      </c>
      <c r="H1163" s="5">
        <v>65.95</v>
      </c>
      <c r="I1163" s="4"/>
      <c r="J1163" s="4">
        <f>SUMPRODUCT(--((A1163=$A$3:$A$2785)*$H$3:$H$2785&gt;H1163))+1</f>
        <v>84</v>
      </c>
    </row>
    <row r="1164" s="1" customFormat="true" customHeight="true" spans="1:10">
      <c r="A1164" s="4" t="str">
        <f t="shared" si="161"/>
        <v>021</v>
      </c>
      <c r="B1164" s="4" t="s">
        <v>33</v>
      </c>
      <c r="C1164" s="4" t="str">
        <f>"王岚"</f>
        <v>王岚</v>
      </c>
      <c r="D1164" s="4" t="str">
        <f>"2021010709"</f>
        <v>2021010709</v>
      </c>
      <c r="E1164" s="4" t="str">
        <f>"07"</f>
        <v>07</v>
      </c>
      <c r="F1164" s="4" t="str">
        <f>"09"</f>
        <v>09</v>
      </c>
      <c r="G1164" s="4" t="s">
        <v>12</v>
      </c>
      <c r="H1164" s="5">
        <v>65.9</v>
      </c>
      <c r="I1164" s="4"/>
      <c r="J1164" s="4">
        <f>SUMPRODUCT(--((A1164=$A$3:$A$2785)*$H$3:$H$2785&gt;H1164))+1</f>
        <v>85</v>
      </c>
    </row>
    <row r="1165" s="1" customFormat="true" customHeight="true" spans="1:10">
      <c r="A1165" s="4" t="str">
        <f t="shared" si="161"/>
        <v>021</v>
      </c>
      <c r="B1165" s="4" t="s">
        <v>33</v>
      </c>
      <c r="C1165" s="4" t="str">
        <f>"龙梅"</f>
        <v>龙梅</v>
      </c>
      <c r="D1165" s="4" t="str">
        <f>"2021012306"</f>
        <v>2021012306</v>
      </c>
      <c r="E1165" s="4" t="str">
        <f>"23"</f>
        <v>23</v>
      </c>
      <c r="F1165" s="4" t="str">
        <f>"06"</f>
        <v>06</v>
      </c>
      <c r="G1165" s="4" t="s">
        <v>12</v>
      </c>
      <c r="H1165" s="5">
        <v>65.9</v>
      </c>
      <c r="I1165" s="4"/>
      <c r="J1165" s="4">
        <f>SUMPRODUCT(--((A1165=$A$3:$A$2785)*$H$3:$H$2785&gt;H1165))+1</f>
        <v>85</v>
      </c>
    </row>
    <row r="1166" s="1" customFormat="true" customHeight="true" spans="1:10">
      <c r="A1166" s="4" t="str">
        <f t="shared" si="161"/>
        <v>021</v>
      </c>
      <c r="B1166" s="4" t="s">
        <v>33</v>
      </c>
      <c r="C1166" s="4" t="str">
        <f>"龙燕琴"</f>
        <v>龙燕琴</v>
      </c>
      <c r="D1166" s="4" t="str">
        <f>"2021011606"</f>
        <v>2021011606</v>
      </c>
      <c r="E1166" s="4" t="str">
        <f>"16"</f>
        <v>16</v>
      </c>
      <c r="F1166" s="4" t="str">
        <f>"06"</f>
        <v>06</v>
      </c>
      <c r="G1166" s="4" t="s">
        <v>12</v>
      </c>
      <c r="H1166" s="5">
        <v>65.85</v>
      </c>
      <c r="I1166" s="4"/>
      <c r="J1166" s="4">
        <f>SUMPRODUCT(--((A1166=$A$3:$A$2785)*$H$3:$H$2785&gt;H1166))+1</f>
        <v>87</v>
      </c>
    </row>
    <row r="1167" s="1" customFormat="true" customHeight="true" spans="1:10">
      <c r="A1167" s="4" t="str">
        <f t="shared" si="161"/>
        <v>021</v>
      </c>
      <c r="B1167" s="4" t="s">
        <v>33</v>
      </c>
      <c r="C1167" s="4" t="str">
        <f>"张静如"</f>
        <v>张静如</v>
      </c>
      <c r="D1167" s="4" t="str">
        <f>"2021010724"</f>
        <v>2021010724</v>
      </c>
      <c r="E1167" s="4" t="str">
        <f>"07"</f>
        <v>07</v>
      </c>
      <c r="F1167" s="4" t="str">
        <f>"24"</f>
        <v>24</v>
      </c>
      <c r="G1167" s="4" t="s">
        <v>12</v>
      </c>
      <c r="H1167" s="5">
        <v>65.8</v>
      </c>
      <c r="I1167" s="4"/>
      <c r="J1167" s="4">
        <f>SUMPRODUCT(--((A1167=$A$3:$A$2785)*$H$3:$H$2785&gt;H1167))+1</f>
        <v>88</v>
      </c>
    </row>
    <row r="1168" s="1" customFormat="true" customHeight="true" spans="1:10">
      <c r="A1168" s="4" t="str">
        <f t="shared" si="161"/>
        <v>021</v>
      </c>
      <c r="B1168" s="4" t="s">
        <v>33</v>
      </c>
      <c r="C1168" s="4" t="str">
        <f>"李诗贤"</f>
        <v>李诗贤</v>
      </c>
      <c r="D1168" s="4" t="str">
        <f>"2021011011"</f>
        <v>2021011011</v>
      </c>
      <c r="E1168" s="4" t="str">
        <f>"10"</f>
        <v>10</v>
      </c>
      <c r="F1168" s="4" t="str">
        <f>"11"</f>
        <v>11</v>
      </c>
      <c r="G1168" s="4" t="s">
        <v>12</v>
      </c>
      <c r="H1168" s="5">
        <v>65.8</v>
      </c>
      <c r="I1168" s="4"/>
      <c r="J1168" s="4">
        <f>SUMPRODUCT(--((A1168=$A$3:$A$2785)*$H$3:$H$2785&gt;H1168))+1</f>
        <v>88</v>
      </c>
    </row>
    <row r="1169" s="1" customFormat="true" customHeight="true" spans="1:10">
      <c r="A1169" s="4" t="str">
        <f t="shared" si="161"/>
        <v>021</v>
      </c>
      <c r="B1169" s="4" t="s">
        <v>33</v>
      </c>
      <c r="C1169" s="4" t="str">
        <f>"杨景"</f>
        <v>杨景</v>
      </c>
      <c r="D1169" s="4" t="str">
        <f>"2021011005"</f>
        <v>2021011005</v>
      </c>
      <c r="E1169" s="4" t="str">
        <f>"10"</f>
        <v>10</v>
      </c>
      <c r="F1169" s="4" t="str">
        <f>"05"</f>
        <v>05</v>
      </c>
      <c r="G1169" s="4" t="s">
        <v>12</v>
      </c>
      <c r="H1169" s="5">
        <v>65.75</v>
      </c>
      <c r="I1169" s="4"/>
      <c r="J1169" s="4">
        <f>SUMPRODUCT(--((A1169=$A$3:$A$2785)*$H$3:$H$2785&gt;H1169))+1</f>
        <v>90</v>
      </c>
    </row>
    <row r="1170" s="1" customFormat="true" customHeight="true" spans="1:10">
      <c r="A1170" s="4" t="str">
        <f t="shared" si="161"/>
        <v>021</v>
      </c>
      <c r="B1170" s="4" t="s">
        <v>33</v>
      </c>
      <c r="C1170" s="4" t="str">
        <f>"田径"</f>
        <v>田径</v>
      </c>
      <c r="D1170" s="4" t="str">
        <f>"2021011407"</f>
        <v>2021011407</v>
      </c>
      <c r="E1170" s="4" t="str">
        <f>"14"</f>
        <v>14</v>
      </c>
      <c r="F1170" s="4" t="str">
        <f>"07"</f>
        <v>07</v>
      </c>
      <c r="G1170" s="4" t="s">
        <v>12</v>
      </c>
      <c r="H1170" s="5">
        <v>65.75</v>
      </c>
      <c r="I1170" s="4"/>
      <c r="J1170" s="4">
        <f>SUMPRODUCT(--((A1170=$A$3:$A$2785)*$H$3:$H$2785&gt;H1170))+1</f>
        <v>90</v>
      </c>
    </row>
    <row r="1171" s="1" customFormat="true" customHeight="true" spans="1:10">
      <c r="A1171" s="4" t="str">
        <f t="shared" si="161"/>
        <v>021</v>
      </c>
      <c r="B1171" s="4" t="s">
        <v>33</v>
      </c>
      <c r="C1171" s="4" t="str">
        <f>"汪一星"</f>
        <v>汪一星</v>
      </c>
      <c r="D1171" s="4" t="str">
        <f>"2021012210"</f>
        <v>2021012210</v>
      </c>
      <c r="E1171" s="4" t="str">
        <f>"22"</f>
        <v>22</v>
      </c>
      <c r="F1171" s="4" t="str">
        <f>"10"</f>
        <v>10</v>
      </c>
      <c r="G1171" s="4" t="s">
        <v>12</v>
      </c>
      <c r="H1171" s="5">
        <v>65.75</v>
      </c>
      <c r="I1171" s="4"/>
      <c r="J1171" s="4">
        <f>SUMPRODUCT(--((A1171=$A$3:$A$2785)*$H$3:$H$2785&gt;H1171))+1</f>
        <v>90</v>
      </c>
    </row>
    <row r="1172" s="1" customFormat="true" customHeight="true" spans="1:10">
      <c r="A1172" s="4" t="str">
        <f t="shared" si="161"/>
        <v>021</v>
      </c>
      <c r="B1172" s="4" t="s">
        <v>33</v>
      </c>
      <c r="C1172" s="4" t="str">
        <f>"吴铭"</f>
        <v>吴铭</v>
      </c>
      <c r="D1172" s="4" t="str">
        <f>"2021011924"</f>
        <v>2021011924</v>
      </c>
      <c r="E1172" s="4" t="str">
        <f>"19"</f>
        <v>19</v>
      </c>
      <c r="F1172" s="4" t="str">
        <f>"24"</f>
        <v>24</v>
      </c>
      <c r="G1172" s="4" t="s">
        <v>12</v>
      </c>
      <c r="H1172" s="5">
        <v>65.6</v>
      </c>
      <c r="I1172" s="4"/>
      <c r="J1172" s="4">
        <f>SUMPRODUCT(--((A1172=$A$3:$A$2785)*$H$3:$H$2785&gt;H1172))+1</f>
        <v>93</v>
      </c>
    </row>
    <row r="1173" s="1" customFormat="true" customHeight="true" spans="1:10">
      <c r="A1173" s="4" t="str">
        <f t="shared" si="161"/>
        <v>021</v>
      </c>
      <c r="B1173" s="4" t="s">
        <v>33</v>
      </c>
      <c r="C1173" s="4" t="str">
        <f>"黄雪航"</f>
        <v>黄雪航</v>
      </c>
      <c r="D1173" s="4" t="str">
        <f>"2021012011"</f>
        <v>2021012011</v>
      </c>
      <c r="E1173" s="4" t="str">
        <f>"20"</f>
        <v>20</v>
      </c>
      <c r="F1173" s="4" t="str">
        <f>"11"</f>
        <v>11</v>
      </c>
      <c r="G1173" s="4" t="s">
        <v>12</v>
      </c>
      <c r="H1173" s="5">
        <v>65.5</v>
      </c>
      <c r="I1173" s="4"/>
      <c r="J1173" s="4">
        <f>SUMPRODUCT(--((A1173=$A$3:$A$2785)*$H$3:$H$2785&gt;H1173))+1</f>
        <v>94</v>
      </c>
    </row>
    <row r="1174" s="1" customFormat="true" customHeight="true" spans="1:10">
      <c r="A1174" s="4" t="str">
        <f t="shared" si="161"/>
        <v>021</v>
      </c>
      <c r="B1174" s="4" t="s">
        <v>33</v>
      </c>
      <c r="C1174" s="4" t="str">
        <f>"徐鑫"</f>
        <v>徐鑫</v>
      </c>
      <c r="D1174" s="4" t="str">
        <f>"2021011912"</f>
        <v>2021011912</v>
      </c>
      <c r="E1174" s="4" t="str">
        <f>"19"</f>
        <v>19</v>
      </c>
      <c r="F1174" s="4" t="str">
        <f>"12"</f>
        <v>12</v>
      </c>
      <c r="G1174" s="4" t="s">
        <v>12</v>
      </c>
      <c r="H1174" s="5">
        <v>65.45</v>
      </c>
      <c r="I1174" s="4"/>
      <c r="J1174" s="4">
        <f>SUMPRODUCT(--((A1174=$A$3:$A$2785)*$H$3:$H$2785&gt;H1174))+1</f>
        <v>95</v>
      </c>
    </row>
    <row r="1175" s="1" customFormat="true" customHeight="true" spans="1:10">
      <c r="A1175" s="4" t="str">
        <f t="shared" si="161"/>
        <v>021</v>
      </c>
      <c r="B1175" s="4" t="s">
        <v>33</v>
      </c>
      <c r="C1175" s="4" t="str">
        <f>"江智敏"</f>
        <v>江智敏</v>
      </c>
      <c r="D1175" s="4" t="str">
        <f>"2021011614"</f>
        <v>2021011614</v>
      </c>
      <c r="E1175" s="4" t="str">
        <f>"16"</f>
        <v>16</v>
      </c>
      <c r="F1175" s="4" t="str">
        <f>"14"</f>
        <v>14</v>
      </c>
      <c r="G1175" s="4" t="s">
        <v>12</v>
      </c>
      <c r="H1175" s="5">
        <v>65.35</v>
      </c>
      <c r="I1175" s="4"/>
      <c r="J1175" s="4">
        <f>SUMPRODUCT(--((A1175=$A$3:$A$2785)*$H$3:$H$2785&gt;H1175))+1</f>
        <v>96</v>
      </c>
    </row>
    <row r="1176" s="1" customFormat="true" customHeight="true" spans="1:10">
      <c r="A1176" s="4" t="str">
        <f t="shared" si="161"/>
        <v>021</v>
      </c>
      <c r="B1176" s="4" t="s">
        <v>33</v>
      </c>
      <c r="C1176" s="4" t="str">
        <f>"陈川川"</f>
        <v>陈川川</v>
      </c>
      <c r="D1176" s="4" t="str">
        <f>"2021011215"</f>
        <v>2021011215</v>
      </c>
      <c r="E1176" s="4" t="str">
        <f>"12"</f>
        <v>12</v>
      </c>
      <c r="F1176" s="4" t="str">
        <f>"15"</f>
        <v>15</v>
      </c>
      <c r="G1176" s="4" t="s">
        <v>12</v>
      </c>
      <c r="H1176" s="5">
        <v>65.3</v>
      </c>
      <c r="I1176" s="4"/>
      <c r="J1176" s="4">
        <f>SUMPRODUCT(--((A1176=$A$3:$A$2785)*$H$3:$H$2785&gt;H1176))+1</f>
        <v>97</v>
      </c>
    </row>
    <row r="1177" s="1" customFormat="true" customHeight="true" spans="1:10">
      <c r="A1177" s="4" t="str">
        <f t="shared" si="161"/>
        <v>021</v>
      </c>
      <c r="B1177" s="4" t="s">
        <v>33</v>
      </c>
      <c r="C1177" s="4" t="str">
        <f>"石奕"</f>
        <v>石奕</v>
      </c>
      <c r="D1177" s="4" t="str">
        <f>"2021012103"</f>
        <v>2021012103</v>
      </c>
      <c r="E1177" s="4" t="str">
        <f>"21"</f>
        <v>21</v>
      </c>
      <c r="F1177" s="4" t="str">
        <f>"03"</f>
        <v>03</v>
      </c>
      <c r="G1177" s="4" t="s">
        <v>12</v>
      </c>
      <c r="H1177" s="5">
        <v>65.3</v>
      </c>
      <c r="I1177" s="4"/>
      <c r="J1177" s="4">
        <f>SUMPRODUCT(--((A1177=$A$3:$A$2785)*$H$3:$H$2785&gt;H1177))+1</f>
        <v>97</v>
      </c>
    </row>
    <row r="1178" s="1" customFormat="true" customHeight="true" spans="1:10">
      <c r="A1178" s="4" t="str">
        <f t="shared" si="161"/>
        <v>021</v>
      </c>
      <c r="B1178" s="4" t="s">
        <v>33</v>
      </c>
      <c r="C1178" s="4" t="str">
        <f>"米艳梅"</f>
        <v>米艳梅</v>
      </c>
      <c r="D1178" s="4" t="str">
        <f>"2021010804"</f>
        <v>2021010804</v>
      </c>
      <c r="E1178" s="4" t="str">
        <f>"08"</f>
        <v>08</v>
      </c>
      <c r="F1178" s="4" t="str">
        <f>"04"</f>
        <v>04</v>
      </c>
      <c r="G1178" s="4" t="s">
        <v>12</v>
      </c>
      <c r="H1178" s="5">
        <v>65.2</v>
      </c>
      <c r="I1178" s="4"/>
      <c r="J1178" s="4">
        <f>SUMPRODUCT(--((A1178=$A$3:$A$2785)*$H$3:$H$2785&gt;H1178))+1</f>
        <v>99</v>
      </c>
    </row>
    <row r="1179" s="1" customFormat="true" customHeight="true" spans="1:10">
      <c r="A1179" s="4" t="str">
        <f t="shared" si="161"/>
        <v>021</v>
      </c>
      <c r="B1179" s="4" t="s">
        <v>33</v>
      </c>
      <c r="C1179" s="4" t="str">
        <f>"唐雪娇"</f>
        <v>唐雪娇</v>
      </c>
      <c r="D1179" s="4" t="str">
        <f>"2021011904"</f>
        <v>2021011904</v>
      </c>
      <c r="E1179" s="4" t="str">
        <f>"19"</f>
        <v>19</v>
      </c>
      <c r="F1179" s="4" t="str">
        <f>"04"</f>
        <v>04</v>
      </c>
      <c r="G1179" s="4" t="s">
        <v>12</v>
      </c>
      <c r="H1179" s="5">
        <v>65.2</v>
      </c>
      <c r="I1179" s="4"/>
      <c r="J1179" s="4">
        <f>SUMPRODUCT(--((A1179=$A$3:$A$2785)*$H$3:$H$2785&gt;H1179))+1</f>
        <v>99</v>
      </c>
    </row>
    <row r="1180" s="1" customFormat="true" customHeight="true" spans="1:10">
      <c r="A1180" s="4" t="str">
        <f t="shared" si="161"/>
        <v>021</v>
      </c>
      <c r="B1180" s="4" t="s">
        <v>33</v>
      </c>
      <c r="C1180" s="4" t="str">
        <f>"李欣"</f>
        <v>李欣</v>
      </c>
      <c r="D1180" s="4" t="str">
        <f>"2021011926"</f>
        <v>2021011926</v>
      </c>
      <c r="E1180" s="4" t="str">
        <f>"19"</f>
        <v>19</v>
      </c>
      <c r="F1180" s="4" t="str">
        <f>"26"</f>
        <v>26</v>
      </c>
      <c r="G1180" s="4" t="s">
        <v>12</v>
      </c>
      <c r="H1180" s="5">
        <v>65.1</v>
      </c>
      <c r="I1180" s="4"/>
      <c r="J1180" s="4">
        <f>SUMPRODUCT(--((A1180=$A$3:$A$2785)*$H$3:$H$2785&gt;H1180))+1</f>
        <v>101</v>
      </c>
    </row>
    <row r="1181" s="1" customFormat="true" customHeight="true" spans="1:10">
      <c r="A1181" s="4" t="str">
        <f t="shared" si="161"/>
        <v>021</v>
      </c>
      <c r="B1181" s="4" t="s">
        <v>33</v>
      </c>
      <c r="C1181" s="4" t="str">
        <f>"陈雨叶"</f>
        <v>陈雨叶</v>
      </c>
      <c r="D1181" s="4" t="str">
        <f>"2021012112"</f>
        <v>2021012112</v>
      </c>
      <c r="E1181" s="4" t="str">
        <f>"21"</f>
        <v>21</v>
      </c>
      <c r="F1181" s="4" t="str">
        <f>"12"</f>
        <v>12</v>
      </c>
      <c r="G1181" s="4" t="s">
        <v>12</v>
      </c>
      <c r="H1181" s="5">
        <v>65</v>
      </c>
      <c r="I1181" s="4"/>
      <c r="J1181" s="4">
        <f>SUMPRODUCT(--((A1181=$A$3:$A$2785)*$H$3:$H$2785&gt;H1181))+1</f>
        <v>102</v>
      </c>
    </row>
    <row r="1182" s="1" customFormat="true" customHeight="true" spans="1:10">
      <c r="A1182" s="4" t="str">
        <f t="shared" si="161"/>
        <v>021</v>
      </c>
      <c r="B1182" s="4" t="s">
        <v>33</v>
      </c>
      <c r="C1182" s="4" t="str">
        <f>"唐忍霞"</f>
        <v>唐忍霞</v>
      </c>
      <c r="D1182" s="4" t="str">
        <f>"2021010905"</f>
        <v>2021010905</v>
      </c>
      <c r="E1182" s="4" t="str">
        <f>"09"</f>
        <v>09</v>
      </c>
      <c r="F1182" s="4" t="str">
        <f>"05"</f>
        <v>05</v>
      </c>
      <c r="G1182" s="4" t="s">
        <v>12</v>
      </c>
      <c r="H1182" s="5">
        <v>64.9</v>
      </c>
      <c r="I1182" s="4"/>
      <c r="J1182" s="4">
        <f>SUMPRODUCT(--((A1182=$A$3:$A$2785)*$H$3:$H$2785&gt;H1182))+1</f>
        <v>103</v>
      </c>
    </row>
    <row r="1183" s="1" customFormat="true" customHeight="true" spans="1:10">
      <c r="A1183" s="4" t="str">
        <f t="shared" si="161"/>
        <v>021</v>
      </c>
      <c r="B1183" s="4" t="s">
        <v>33</v>
      </c>
      <c r="C1183" s="4" t="str">
        <f>"曾桉琪"</f>
        <v>曾桉琪</v>
      </c>
      <c r="D1183" s="4" t="str">
        <f>"2021012223"</f>
        <v>2021012223</v>
      </c>
      <c r="E1183" s="4" t="str">
        <f>"22"</f>
        <v>22</v>
      </c>
      <c r="F1183" s="4" t="str">
        <f>"23"</f>
        <v>23</v>
      </c>
      <c r="G1183" s="4" t="s">
        <v>12</v>
      </c>
      <c r="H1183" s="5">
        <v>64.7</v>
      </c>
      <c r="I1183" s="4"/>
      <c r="J1183" s="4">
        <f>SUMPRODUCT(--((A1183=$A$3:$A$2785)*$H$3:$H$2785&gt;H1183))+1</f>
        <v>104</v>
      </c>
    </row>
    <row r="1184" s="1" customFormat="true" customHeight="true" spans="1:10">
      <c r="A1184" s="4" t="str">
        <f t="shared" si="161"/>
        <v>021</v>
      </c>
      <c r="B1184" s="4" t="s">
        <v>33</v>
      </c>
      <c r="C1184" s="4" t="str">
        <f>"付晴"</f>
        <v>付晴</v>
      </c>
      <c r="D1184" s="4" t="str">
        <f>"2021011617"</f>
        <v>2021011617</v>
      </c>
      <c r="E1184" s="4" t="str">
        <f>"16"</f>
        <v>16</v>
      </c>
      <c r="F1184" s="4" t="str">
        <f>"17"</f>
        <v>17</v>
      </c>
      <c r="G1184" s="4" t="s">
        <v>12</v>
      </c>
      <c r="H1184" s="5">
        <v>64.6</v>
      </c>
      <c r="I1184" s="4"/>
      <c r="J1184" s="4">
        <f>SUMPRODUCT(--((A1184=$A$3:$A$2785)*$H$3:$H$2785&gt;H1184))+1</f>
        <v>105</v>
      </c>
    </row>
    <row r="1185" s="1" customFormat="true" customHeight="true" spans="1:10">
      <c r="A1185" s="4" t="str">
        <f t="shared" si="161"/>
        <v>021</v>
      </c>
      <c r="B1185" s="4" t="s">
        <v>33</v>
      </c>
      <c r="C1185" s="4" t="str">
        <f>"周凌云"</f>
        <v>周凌云</v>
      </c>
      <c r="D1185" s="4" t="str">
        <f>"2021011812"</f>
        <v>2021011812</v>
      </c>
      <c r="E1185" s="4" t="str">
        <f>"18"</f>
        <v>18</v>
      </c>
      <c r="F1185" s="4" t="str">
        <f t="shared" ref="F1185:F1190" si="162">"12"</f>
        <v>12</v>
      </c>
      <c r="G1185" s="4" t="s">
        <v>12</v>
      </c>
      <c r="H1185" s="5">
        <v>64.6</v>
      </c>
      <c r="I1185" s="4"/>
      <c r="J1185" s="4">
        <f>SUMPRODUCT(--((A1185=$A$3:$A$2785)*$H$3:$H$2785&gt;H1185))+1</f>
        <v>105</v>
      </c>
    </row>
    <row r="1186" s="1" customFormat="true" customHeight="true" spans="1:10">
      <c r="A1186" s="4" t="str">
        <f t="shared" si="161"/>
        <v>021</v>
      </c>
      <c r="B1186" s="4" t="s">
        <v>33</v>
      </c>
      <c r="C1186" s="4" t="str">
        <f>"安玲玲"</f>
        <v>安玲玲</v>
      </c>
      <c r="D1186" s="4" t="str">
        <f>"2021012202"</f>
        <v>2021012202</v>
      </c>
      <c r="E1186" s="4" t="str">
        <f>"22"</f>
        <v>22</v>
      </c>
      <c r="F1186" s="4" t="str">
        <f>"02"</f>
        <v>02</v>
      </c>
      <c r="G1186" s="4" t="s">
        <v>12</v>
      </c>
      <c r="H1186" s="5">
        <v>64.55</v>
      </c>
      <c r="I1186" s="4"/>
      <c r="J1186" s="4">
        <f>SUMPRODUCT(--((A1186=$A$3:$A$2785)*$H$3:$H$2785&gt;H1186))+1</f>
        <v>107</v>
      </c>
    </row>
    <row r="1187" s="1" customFormat="true" customHeight="true" spans="1:10">
      <c r="A1187" s="4" t="str">
        <f t="shared" si="161"/>
        <v>021</v>
      </c>
      <c r="B1187" s="4" t="s">
        <v>33</v>
      </c>
      <c r="C1187" s="4" t="str">
        <f>"张诗瑶"</f>
        <v>张诗瑶</v>
      </c>
      <c r="D1187" s="4" t="str">
        <f>"2021011412"</f>
        <v>2021011412</v>
      </c>
      <c r="E1187" s="4" t="str">
        <f>"14"</f>
        <v>14</v>
      </c>
      <c r="F1187" s="4" t="str">
        <f t="shared" si="162"/>
        <v>12</v>
      </c>
      <c r="G1187" s="4" t="s">
        <v>12</v>
      </c>
      <c r="H1187" s="5">
        <v>64.5</v>
      </c>
      <c r="I1187" s="4"/>
      <c r="J1187" s="4">
        <f>SUMPRODUCT(--((A1187=$A$3:$A$2785)*$H$3:$H$2785&gt;H1187))+1</f>
        <v>108</v>
      </c>
    </row>
    <row r="1188" s="1" customFormat="true" customHeight="true" spans="1:10">
      <c r="A1188" s="4" t="str">
        <f t="shared" si="161"/>
        <v>021</v>
      </c>
      <c r="B1188" s="4" t="s">
        <v>33</v>
      </c>
      <c r="C1188" s="4" t="str">
        <f>"唐晓红"</f>
        <v>唐晓红</v>
      </c>
      <c r="D1188" s="4" t="str">
        <f>"2021011827"</f>
        <v>2021011827</v>
      </c>
      <c r="E1188" s="4" t="str">
        <f>"18"</f>
        <v>18</v>
      </c>
      <c r="F1188" s="4" t="str">
        <f>"27"</f>
        <v>27</v>
      </c>
      <c r="G1188" s="4" t="s">
        <v>12</v>
      </c>
      <c r="H1188" s="5">
        <v>64.35</v>
      </c>
      <c r="I1188" s="4"/>
      <c r="J1188" s="4">
        <f>SUMPRODUCT(--((A1188=$A$3:$A$2785)*$H$3:$H$2785&gt;H1188))+1</f>
        <v>109</v>
      </c>
    </row>
    <row r="1189" s="1" customFormat="true" customHeight="true" spans="1:10">
      <c r="A1189" s="4" t="str">
        <f t="shared" si="161"/>
        <v>021</v>
      </c>
      <c r="B1189" s="4" t="s">
        <v>33</v>
      </c>
      <c r="C1189" s="4" t="str">
        <f>"彭慧"</f>
        <v>彭慧</v>
      </c>
      <c r="D1189" s="4" t="str">
        <f>"2021010716"</f>
        <v>2021010716</v>
      </c>
      <c r="E1189" s="4" t="str">
        <f>"07"</f>
        <v>07</v>
      </c>
      <c r="F1189" s="4" t="str">
        <f>"16"</f>
        <v>16</v>
      </c>
      <c r="G1189" s="4" t="s">
        <v>12</v>
      </c>
      <c r="H1189" s="5">
        <v>64.25</v>
      </c>
      <c r="I1189" s="4"/>
      <c r="J1189" s="4">
        <f>SUMPRODUCT(--((A1189=$A$3:$A$2785)*$H$3:$H$2785&gt;H1189))+1</f>
        <v>110</v>
      </c>
    </row>
    <row r="1190" s="1" customFormat="true" customHeight="true" spans="1:10">
      <c r="A1190" s="4" t="str">
        <f t="shared" si="161"/>
        <v>021</v>
      </c>
      <c r="B1190" s="4" t="s">
        <v>33</v>
      </c>
      <c r="C1190" s="4" t="str">
        <f>"李娟"</f>
        <v>李娟</v>
      </c>
      <c r="D1190" s="4" t="str">
        <f>"2021011312"</f>
        <v>2021011312</v>
      </c>
      <c r="E1190" s="4" t="str">
        <f>"13"</f>
        <v>13</v>
      </c>
      <c r="F1190" s="4" t="str">
        <f t="shared" si="162"/>
        <v>12</v>
      </c>
      <c r="G1190" s="4" t="s">
        <v>12</v>
      </c>
      <c r="H1190" s="5">
        <v>64.25</v>
      </c>
      <c r="I1190" s="4"/>
      <c r="J1190" s="4">
        <f>SUMPRODUCT(--((A1190=$A$3:$A$2785)*$H$3:$H$2785&gt;H1190))+1</f>
        <v>110</v>
      </c>
    </row>
    <row r="1191" s="1" customFormat="true" customHeight="true" spans="1:10">
      <c r="A1191" s="4" t="str">
        <f t="shared" si="161"/>
        <v>021</v>
      </c>
      <c r="B1191" s="4" t="s">
        <v>33</v>
      </c>
      <c r="C1191" s="4" t="str">
        <f>"刘梦婷"</f>
        <v>刘梦婷</v>
      </c>
      <c r="D1191" s="4" t="str">
        <f>"2021010827"</f>
        <v>2021010827</v>
      </c>
      <c r="E1191" s="4" t="str">
        <f>"08"</f>
        <v>08</v>
      </c>
      <c r="F1191" s="4" t="str">
        <f>"27"</f>
        <v>27</v>
      </c>
      <c r="G1191" s="4" t="s">
        <v>12</v>
      </c>
      <c r="H1191" s="5">
        <v>64.05</v>
      </c>
      <c r="I1191" s="4"/>
      <c r="J1191" s="4">
        <f>SUMPRODUCT(--((A1191=$A$3:$A$2785)*$H$3:$H$2785&gt;H1191))+1</f>
        <v>112</v>
      </c>
    </row>
    <row r="1192" s="1" customFormat="true" customHeight="true" spans="1:10">
      <c r="A1192" s="4" t="str">
        <f t="shared" si="161"/>
        <v>021</v>
      </c>
      <c r="B1192" s="4" t="s">
        <v>33</v>
      </c>
      <c r="C1192" s="4" t="str">
        <f>"史嫣然"</f>
        <v>史嫣然</v>
      </c>
      <c r="D1192" s="4" t="str">
        <f>"2021012019"</f>
        <v>2021012019</v>
      </c>
      <c r="E1192" s="4" t="str">
        <f>"20"</f>
        <v>20</v>
      </c>
      <c r="F1192" s="4" t="str">
        <f>"19"</f>
        <v>19</v>
      </c>
      <c r="G1192" s="4" t="s">
        <v>12</v>
      </c>
      <c r="H1192" s="5">
        <v>63.85</v>
      </c>
      <c r="I1192" s="4"/>
      <c r="J1192" s="4">
        <f>SUMPRODUCT(--((A1192=$A$3:$A$2785)*$H$3:$H$2785&gt;H1192))+1</f>
        <v>113</v>
      </c>
    </row>
    <row r="1193" s="1" customFormat="true" customHeight="true" spans="1:10">
      <c r="A1193" s="4" t="str">
        <f t="shared" si="161"/>
        <v>021</v>
      </c>
      <c r="B1193" s="4" t="s">
        <v>33</v>
      </c>
      <c r="C1193" s="4" t="str">
        <f>"潘林霞"</f>
        <v>潘林霞</v>
      </c>
      <c r="D1193" s="4" t="str">
        <f>"2021012212"</f>
        <v>2021012212</v>
      </c>
      <c r="E1193" s="4" t="str">
        <f>"22"</f>
        <v>22</v>
      </c>
      <c r="F1193" s="4" t="str">
        <f>"12"</f>
        <v>12</v>
      </c>
      <c r="G1193" s="4" t="s">
        <v>12</v>
      </c>
      <c r="H1193" s="5">
        <v>63.85</v>
      </c>
      <c r="I1193" s="4"/>
      <c r="J1193" s="4">
        <f>SUMPRODUCT(--((A1193=$A$3:$A$2785)*$H$3:$H$2785&gt;H1193))+1</f>
        <v>113</v>
      </c>
    </row>
    <row r="1194" s="1" customFormat="true" customHeight="true" spans="1:10">
      <c r="A1194" s="4" t="str">
        <f t="shared" si="161"/>
        <v>021</v>
      </c>
      <c r="B1194" s="4" t="s">
        <v>33</v>
      </c>
      <c r="C1194" s="4" t="str">
        <f>"田孟桦"</f>
        <v>田孟桦</v>
      </c>
      <c r="D1194" s="4" t="str">
        <f>"2021011923"</f>
        <v>2021011923</v>
      </c>
      <c r="E1194" s="4" t="str">
        <f>"19"</f>
        <v>19</v>
      </c>
      <c r="F1194" s="4" t="str">
        <f>"23"</f>
        <v>23</v>
      </c>
      <c r="G1194" s="4" t="s">
        <v>12</v>
      </c>
      <c r="H1194" s="5">
        <v>63.8</v>
      </c>
      <c r="I1194" s="4"/>
      <c r="J1194" s="4">
        <f>SUMPRODUCT(--((A1194=$A$3:$A$2785)*$H$3:$H$2785&gt;H1194))+1</f>
        <v>115</v>
      </c>
    </row>
    <row r="1195" s="1" customFormat="true" customHeight="true" spans="1:10">
      <c r="A1195" s="4" t="str">
        <f t="shared" si="161"/>
        <v>021</v>
      </c>
      <c r="B1195" s="4" t="s">
        <v>33</v>
      </c>
      <c r="C1195" s="4" t="str">
        <f>"高贝"</f>
        <v>高贝</v>
      </c>
      <c r="D1195" s="4" t="str">
        <f>"2021012030"</f>
        <v>2021012030</v>
      </c>
      <c r="E1195" s="4" t="str">
        <f>"20"</f>
        <v>20</v>
      </c>
      <c r="F1195" s="4" t="str">
        <f>"30"</f>
        <v>30</v>
      </c>
      <c r="G1195" s="4" t="s">
        <v>12</v>
      </c>
      <c r="H1195" s="5">
        <v>63.65</v>
      </c>
      <c r="I1195" s="4"/>
      <c r="J1195" s="4">
        <f>SUMPRODUCT(--((A1195=$A$3:$A$2785)*$H$3:$H$2785&gt;H1195))+1</f>
        <v>116</v>
      </c>
    </row>
    <row r="1196" s="1" customFormat="true" customHeight="true" spans="1:10">
      <c r="A1196" s="4" t="str">
        <f t="shared" si="161"/>
        <v>021</v>
      </c>
      <c r="B1196" s="4" t="s">
        <v>33</v>
      </c>
      <c r="C1196" s="4" t="str">
        <f>"韦雅丹"</f>
        <v>韦雅丹</v>
      </c>
      <c r="D1196" s="4" t="str">
        <f>"2021010628"</f>
        <v>2021010628</v>
      </c>
      <c r="E1196" s="4" t="str">
        <f>"06"</f>
        <v>06</v>
      </c>
      <c r="F1196" s="4" t="str">
        <f>"28"</f>
        <v>28</v>
      </c>
      <c r="G1196" s="4" t="s">
        <v>12</v>
      </c>
      <c r="H1196" s="5">
        <v>63.5</v>
      </c>
      <c r="I1196" s="4"/>
      <c r="J1196" s="4">
        <f>SUMPRODUCT(--((A1196=$A$3:$A$2785)*$H$3:$H$2785&gt;H1196))+1</f>
        <v>117</v>
      </c>
    </row>
    <row r="1197" s="1" customFormat="true" customHeight="true" spans="1:10">
      <c r="A1197" s="4" t="str">
        <f t="shared" si="161"/>
        <v>021</v>
      </c>
      <c r="B1197" s="4" t="s">
        <v>33</v>
      </c>
      <c r="C1197" s="4" t="str">
        <f>"满婷"</f>
        <v>满婷</v>
      </c>
      <c r="D1197" s="4" t="str">
        <f>"2021010924"</f>
        <v>2021010924</v>
      </c>
      <c r="E1197" s="4" t="str">
        <f>"09"</f>
        <v>09</v>
      </c>
      <c r="F1197" s="4" t="str">
        <f>"24"</f>
        <v>24</v>
      </c>
      <c r="G1197" s="4" t="s">
        <v>12</v>
      </c>
      <c r="H1197" s="5">
        <v>63.45</v>
      </c>
      <c r="I1197" s="4"/>
      <c r="J1197" s="4">
        <f>SUMPRODUCT(--((A1197=$A$3:$A$2785)*$H$3:$H$2785&gt;H1197))+1</f>
        <v>118</v>
      </c>
    </row>
    <row r="1198" s="1" customFormat="true" customHeight="true" spans="1:10">
      <c r="A1198" s="4" t="str">
        <f t="shared" si="161"/>
        <v>021</v>
      </c>
      <c r="B1198" s="4" t="s">
        <v>33</v>
      </c>
      <c r="C1198" s="4" t="str">
        <f>"张碧琦"</f>
        <v>张碧琦</v>
      </c>
      <c r="D1198" s="4" t="str">
        <f>"2021010723"</f>
        <v>2021010723</v>
      </c>
      <c r="E1198" s="4" t="str">
        <f>"07"</f>
        <v>07</v>
      </c>
      <c r="F1198" s="4" t="str">
        <f>"23"</f>
        <v>23</v>
      </c>
      <c r="G1198" s="4" t="s">
        <v>12</v>
      </c>
      <c r="H1198" s="5">
        <v>63.4</v>
      </c>
      <c r="I1198" s="4"/>
      <c r="J1198" s="4">
        <f>SUMPRODUCT(--((A1198=$A$3:$A$2785)*$H$3:$H$2785&gt;H1198))+1</f>
        <v>119</v>
      </c>
    </row>
    <row r="1199" s="1" customFormat="true" customHeight="true" spans="1:10">
      <c r="A1199" s="4" t="str">
        <f t="shared" si="161"/>
        <v>021</v>
      </c>
      <c r="B1199" s="4" t="s">
        <v>33</v>
      </c>
      <c r="C1199" s="4" t="str">
        <f>"段莎丽"</f>
        <v>段莎丽</v>
      </c>
      <c r="D1199" s="4" t="str">
        <f>"2021011512"</f>
        <v>2021011512</v>
      </c>
      <c r="E1199" s="4" t="str">
        <f>"15"</f>
        <v>15</v>
      </c>
      <c r="F1199" s="4" t="str">
        <f>"12"</f>
        <v>12</v>
      </c>
      <c r="G1199" s="4" t="s">
        <v>12</v>
      </c>
      <c r="H1199" s="5">
        <v>63.4</v>
      </c>
      <c r="I1199" s="4"/>
      <c r="J1199" s="4">
        <f>SUMPRODUCT(--((A1199=$A$3:$A$2785)*$H$3:$H$2785&gt;H1199))+1</f>
        <v>119</v>
      </c>
    </row>
    <row r="1200" s="1" customFormat="true" customHeight="true" spans="1:10">
      <c r="A1200" s="4" t="str">
        <f t="shared" si="161"/>
        <v>021</v>
      </c>
      <c r="B1200" s="4" t="s">
        <v>33</v>
      </c>
      <c r="C1200" s="4" t="str">
        <f>"田晓蒙"</f>
        <v>田晓蒙</v>
      </c>
      <c r="D1200" s="4" t="str">
        <f>"2021010525"</f>
        <v>2021010525</v>
      </c>
      <c r="E1200" s="4" t="str">
        <f>"05"</f>
        <v>05</v>
      </c>
      <c r="F1200" s="4" t="str">
        <f>"25"</f>
        <v>25</v>
      </c>
      <c r="G1200" s="4" t="s">
        <v>12</v>
      </c>
      <c r="H1200" s="5">
        <v>63.35</v>
      </c>
      <c r="I1200" s="4"/>
      <c r="J1200" s="4">
        <f>SUMPRODUCT(--((A1200=$A$3:$A$2785)*$H$3:$H$2785&gt;H1200))+1</f>
        <v>121</v>
      </c>
    </row>
    <row r="1201" s="1" customFormat="true" customHeight="true" spans="1:10">
      <c r="A1201" s="4" t="str">
        <f t="shared" si="161"/>
        <v>021</v>
      </c>
      <c r="B1201" s="4" t="s">
        <v>33</v>
      </c>
      <c r="C1201" s="4" t="str">
        <f>"龙羽君"</f>
        <v>龙羽君</v>
      </c>
      <c r="D1201" s="4" t="str">
        <f>"2021011501"</f>
        <v>2021011501</v>
      </c>
      <c r="E1201" s="4" t="str">
        <f>"15"</f>
        <v>15</v>
      </c>
      <c r="F1201" s="4" t="str">
        <f>"01"</f>
        <v>01</v>
      </c>
      <c r="G1201" s="4" t="s">
        <v>12</v>
      </c>
      <c r="H1201" s="5">
        <v>63.35</v>
      </c>
      <c r="I1201" s="4"/>
      <c r="J1201" s="4">
        <f>SUMPRODUCT(--((A1201=$A$3:$A$2785)*$H$3:$H$2785&gt;H1201))+1</f>
        <v>121</v>
      </c>
    </row>
    <row r="1202" s="1" customFormat="true" customHeight="true" spans="1:10">
      <c r="A1202" s="4" t="str">
        <f t="shared" si="161"/>
        <v>021</v>
      </c>
      <c r="B1202" s="4" t="s">
        <v>33</v>
      </c>
      <c r="C1202" s="4" t="str">
        <f>"周佳丽"</f>
        <v>周佳丽</v>
      </c>
      <c r="D1202" s="4" t="str">
        <f>"2021011324"</f>
        <v>2021011324</v>
      </c>
      <c r="E1202" s="4" t="str">
        <f>"13"</f>
        <v>13</v>
      </c>
      <c r="F1202" s="4" t="str">
        <f>"24"</f>
        <v>24</v>
      </c>
      <c r="G1202" s="4" t="s">
        <v>12</v>
      </c>
      <c r="H1202" s="5">
        <v>63.1</v>
      </c>
      <c r="I1202" s="4"/>
      <c r="J1202" s="4">
        <f>SUMPRODUCT(--((A1202=$A$3:$A$2785)*$H$3:$H$2785&gt;H1202))+1</f>
        <v>123</v>
      </c>
    </row>
    <row r="1203" s="1" customFormat="true" customHeight="true" spans="1:10">
      <c r="A1203" s="4" t="str">
        <f t="shared" si="161"/>
        <v>021</v>
      </c>
      <c r="B1203" s="4" t="s">
        <v>33</v>
      </c>
      <c r="C1203" s="4" t="str">
        <f>"彭霞"</f>
        <v>彭霞</v>
      </c>
      <c r="D1203" s="4" t="str">
        <f>"2021011715"</f>
        <v>2021011715</v>
      </c>
      <c r="E1203" s="4" t="str">
        <f>"17"</f>
        <v>17</v>
      </c>
      <c r="F1203" s="4" t="str">
        <f>"15"</f>
        <v>15</v>
      </c>
      <c r="G1203" s="4" t="s">
        <v>12</v>
      </c>
      <c r="H1203" s="5">
        <v>63.1</v>
      </c>
      <c r="I1203" s="4"/>
      <c r="J1203" s="4">
        <f>SUMPRODUCT(--((A1203=$A$3:$A$2785)*$H$3:$H$2785&gt;H1203))+1</f>
        <v>123</v>
      </c>
    </row>
    <row r="1204" s="1" customFormat="true" customHeight="true" spans="1:10">
      <c r="A1204" s="4" t="str">
        <f t="shared" si="161"/>
        <v>021</v>
      </c>
      <c r="B1204" s="4" t="s">
        <v>33</v>
      </c>
      <c r="C1204" s="4" t="str">
        <f>"张耀丹"</f>
        <v>张耀丹</v>
      </c>
      <c r="D1204" s="4" t="str">
        <f>"2021011427"</f>
        <v>2021011427</v>
      </c>
      <c r="E1204" s="4" t="str">
        <f>"14"</f>
        <v>14</v>
      </c>
      <c r="F1204" s="4" t="str">
        <f>"27"</f>
        <v>27</v>
      </c>
      <c r="G1204" s="4" t="s">
        <v>12</v>
      </c>
      <c r="H1204" s="5">
        <v>63.05</v>
      </c>
      <c r="I1204" s="4"/>
      <c r="J1204" s="4">
        <f>SUMPRODUCT(--((A1204=$A$3:$A$2785)*$H$3:$H$2785&gt;H1204))+1</f>
        <v>125</v>
      </c>
    </row>
    <row r="1205" s="1" customFormat="true" customHeight="true" spans="1:10">
      <c r="A1205" s="4" t="str">
        <f t="shared" si="161"/>
        <v>021</v>
      </c>
      <c r="B1205" s="4" t="s">
        <v>33</v>
      </c>
      <c r="C1205" s="4" t="str">
        <f>"刘慧"</f>
        <v>刘慧</v>
      </c>
      <c r="D1205" s="4" t="str">
        <f>"2021012109"</f>
        <v>2021012109</v>
      </c>
      <c r="E1205" s="4" t="str">
        <f>"21"</f>
        <v>21</v>
      </c>
      <c r="F1205" s="4" t="str">
        <f>"09"</f>
        <v>09</v>
      </c>
      <c r="G1205" s="4" t="s">
        <v>12</v>
      </c>
      <c r="H1205" s="5">
        <v>62.85</v>
      </c>
      <c r="I1205" s="4"/>
      <c r="J1205" s="4">
        <f>SUMPRODUCT(--((A1205=$A$3:$A$2785)*$H$3:$H$2785&gt;H1205))+1</f>
        <v>126</v>
      </c>
    </row>
    <row r="1206" s="1" customFormat="true" customHeight="true" spans="1:10">
      <c r="A1206" s="4" t="str">
        <f t="shared" si="161"/>
        <v>021</v>
      </c>
      <c r="B1206" s="4" t="s">
        <v>33</v>
      </c>
      <c r="C1206" s="4" t="str">
        <f>"张辉林"</f>
        <v>张辉林</v>
      </c>
      <c r="D1206" s="4" t="str">
        <f>"2021010711"</f>
        <v>2021010711</v>
      </c>
      <c r="E1206" s="4" t="str">
        <f>"07"</f>
        <v>07</v>
      </c>
      <c r="F1206" s="4" t="str">
        <f>"11"</f>
        <v>11</v>
      </c>
      <c r="G1206" s="4" t="s">
        <v>12</v>
      </c>
      <c r="H1206" s="5">
        <v>62.65</v>
      </c>
      <c r="I1206" s="4"/>
      <c r="J1206" s="4">
        <f>SUMPRODUCT(--((A1206=$A$3:$A$2785)*$H$3:$H$2785&gt;H1206))+1</f>
        <v>127</v>
      </c>
    </row>
    <row r="1207" s="1" customFormat="true" customHeight="true" spans="1:10">
      <c r="A1207" s="4" t="str">
        <f t="shared" si="161"/>
        <v>021</v>
      </c>
      <c r="B1207" s="4" t="s">
        <v>33</v>
      </c>
      <c r="C1207" s="4" t="str">
        <f>"谭玉婷"</f>
        <v>谭玉婷</v>
      </c>
      <c r="D1207" s="4" t="str">
        <f>"2021010927"</f>
        <v>2021010927</v>
      </c>
      <c r="E1207" s="4" t="str">
        <f>"09"</f>
        <v>09</v>
      </c>
      <c r="F1207" s="4" t="str">
        <f>"27"</f>
        <v>27</v>
      </c>
      <c r="G1207" s="4" t="s">
        <v>12</v>
      </c>
      <c r="H1207" s="5">
        <v>62.65</v>
      </c>
      <c r="I1207" s="4"/>
      <c r="J1207" s="4">
        <f>SUMPRODUCT(--((A1207=$A$3:$A$2785)*$H$3:$H$2785&gt;H1207))+1</f>
        <v>127</v>
      </c>
    </row>
    <row r="1208" s="1" customFormat="true" customHeight="true" spans="1:10">
      <c r="A1208" s="4" t="str">
        <f t="shared" ref="A1208:A1271" si="163">"021"</f>
        <v>021</v>
      </c>
      <c r="B1208" s="4" t="s">
        <v>33</v>
      </c>
      <c r="C1208" s="4" t="str">
        <f>"滕靖茹"</f>
        <v>滕靖茹</v>
      </c>
      <c r="D1208" s="4" t="str">
        <f>"2021010603"</f>
        <v>2021010603</v>
      </c>
      <c r="E1208" s="4" t="str">
        <f>"06"</f>
        <v>06</v>
      </c>
      <c r="F1208" s="4" t="str">
        <f>"03"</f>
        <v>03</v>
      </c>
      <c r="G1208" s="4" t="s">
        <v>12</v>
      </c>
      <c r="H1208" s="5">
        <v>62.6</v>
      </c>
      <c r="I1208" s="4"/>
      <c r="J1208" s="4">
        <f>SUMPRODUCT(--((A1208=$A$3:$A$2785)*$H$3:$H$2785&gt;H1208))+1</f>
        <v>129</v>
      </c>
    </row>
    <row r="1209" s="1" customFormat="true" customHeight="true" spans="1:10">
      <c r="A1209" s="4" t="str">
        <f t="shared" si="163"/>
        <v>021</v>
      </c>
      <c r="B1209" s="4" t="s">
        <v>33</v>
      </c>
      <c r="C1209" s="4" t="str">
        <f>"丁权"</f>
        <v>丁权</v>
      </c>
      <c r="D1209" s="4" t="str">
        <f>"2021010721"</f>
        <v>2021010721</v>
      </c>
      <c r="E1209" s="4" t="str">
        <f>"07"</f>
        <v>07</v>
      </c>
      <c r="F1209" s="4" t="str">
        <f>"21"</f>
        <v>21</v>
      </c>
      <c r="G1209" s="4" t="s">
        <v>12</v>
      </c>
      <c r="H1209" s="5">
        <v>62.6</v>
      </c>
      <c r="I1209" s="4"/>
      <c r="J1209" s="4">
        <f>SUMPRODUCT(--((A1209=$A$3:$A$2785)*$H$3:$H$2785&gt;H1209))+1</f>
        <v>129</v>
      </c>
    </row>
    <row r="1210" s="1" customFormat="true" customHeight="true" spans="1:10">
      <c r="A1210" s="4" t="str">
        <f t="shared" si="163"/>
        <v>021</v>
      </c>
      <c r="B1210" s="4" t="s">
        <v>33</v>
      </c>
      <c r="C1210" s="4" t="str">
        <f>"龙永丽"</f>
        <v>龙永丽</v>
      </c>
      <c r="D1210" s="4" t="str">
        <f>"2021011720"</f>
        <v>2021011720</v>
      </c>
      <c r="E1210" s="4" t="str">
        <f>"17"</f>
        <v>17</v>
      </c>
      <c r="F1210" s="4" t="str">
        <f>"20"</f>
        <v>20</v>
      </c>
      <c r="G1210" s="4" t="s">
        <v>12</v>
      </c>
      <c r="H1210" s="5">
        <v>62.55</v>
      </c>
      <c r="I1210" s="4"/>
      <c r="J1210" s="4">
        <f>SUMPRODUCT(--((A1210=$A$3:$A$2785)*$H$3:$H$2785&gt;H1210))+1</f>
        <v>131</v>
      </c>
    </row>
    <row r="1211" s="1" customFormat="true" customHeight="true" spans="1:10">
      <c r="A1211" s="4" t="str">
        <f t="shared" si="163"/>
        <v>021</v>
      </c>
      <c r="B1211" s="4" t="s">
        <v>33</v>
      </c>
      <c r="C1211" s="4" t="str">
        <f>"姜芬"</f>
        <v>姜芬</v>
      </c>
      <c r="D1211" s="4" t="str">
        <f>"2021011611"</f>
        <v>2021011611</v>
      </c>
      <c r="E1211" s="4" t="str">
        <f>"16"</f>
        <v>16</v>
      </c>
      <c r="F1211" s="4" t="str">
        <f>"11"</f>
        <v>11</v>
      </c>
      <c r="G1211" s="4" t="s">
        <v>12</v>
      </c>
      <c r="H1211" s="5">
        <v>62.5</v>
      </c>
      <c r="I1211" s="4"/>
      <c r="J1211" s="4">
        <f>SUMPRODUCT(--((A1211=$A$3:$A$2785)*$H$3:$H$2785&gt;H1211))+1</f>
        <v>132</v>
      </c>
    </row>
    <row r="1212" s="1" customFormat="true" customHeight="true" spans="1:10">
      <c r="A1212" s="4" t="str">
        <f t="shared" si="163"/>
        <v>021</v>
      </c>
      <c r="B1212" s="4" t="s">
        <v>33</v>
      </c>
      <c r="C1212" s="4" t="str">
        <f>"李杭"</f>
        <v>李杭</v>
      </c>
      <c r="D1212" s="4" t="str">
        <f>"2021010620"</f>
        <v>2021010620</v>
      </c>
      <c r="E1212" s="4" t="str">
        <f>"06"</f>
        <v>06</v>
      </c>
      <c r="F1212" s="4" t="str">
        <f>"20"</f>
        <v>20</v>
      </c>
      <c r="G1212" s="4" t="s">
        <v>12</v>
      </c>
      <c r="H1212" s="5">
        <v>62.35</v>
      </c>
      <c r="I1212" s="4"/>
      <c r="J1212" s="4">
        <f>SUMPRODUCT(--((A1212=$A$3:$A$2785)*$H$3:$H$2785&gt;H1212))+1</f>
        <v>133</v>
      </c>
    </row>
    <row r="1213" s="1" customFormat="true" customHeight="true" spans="1:10">
      <c r="A1213" s="4" t="str">
        <f t="shared" si="163"/>
        <v>021</v>
      </c>
      <c r="B1213" s="4" t="s">
        <v>33</v>
      </c>
      <c r="C1213" s="4" t="str">
        <f>"向舒馨"</f>
        <v>向舒馨</v>
      </c>
      <c r="D1213" s="4" t="str">
        <f>"2021011509"</f>
        <v>2021011509</v>
      </c>
      <c r="E1213" s="4" t="str">
        <f>"15"</f>
        <v>15</v>
      </c>
      <c r="F1213" s="4" t="str">
        <f>"09"</f>
        <v>09</v>
      </c>
      <c r="G1213" s="4" t="s">
        <v>12</v>
      </c>
      <c r="H1213" s="5">
        <v>62.35</v>
      </c>
      <c r="I1213" s="4"/>
      <c r="J1213" s="4">
        <f>SUMPRODUCT(--((A1213=$A$3:$A$2785)*$H$3:$H$2785&gt;H1213))+1</f>
        <v>133</v>
      </c>
    </row>
    <row r="1214" s="1" customFormat="true" customHeight="true" spans="1:10">
      <c r="A1214" s="4" t="str">
        <f t="shared" si="163"/>
        <v>021</v>
      </c>
      <c r="B1214" s="4" t="s">
        <v>33</v>
      </c>
      <c r="C1214" s="4" t="str">
        <f>"曹伦"</f>
        <v>曹伦</v>
      </c>
      <c r="D1214" s="4" t="str">
        <f>"2021011012"</f>
        <v>2021011012</v>
      </c>
      <c r="E1214" s="4" t="str">
        <f>"10"</f>
        <v>10</v>
      </c>
      <c r="F1214" s="4" t="str">
        <f>"12"</f>
        <v>12</v>
      </c>
      <c r="G1214" s="4" t="s">
        <v>12</v>
      </c>
      <c r="H1214" s="5">
        <v>62.25</v>
      </c>
      <c r="I1214" s="4"/>
      <c r="J1214" s="4">
        <f>SUMPRODUCT(--((A1214=$A$3:$A$2785)*$H$3:$H$2785&gt;H1214))+1</f>
        <v>135</v>
      </c>
    </row>
    <row r="1215" s="1" customFormat="true" customHeight="true" spans="1:10">
      <c r="A1215" s="4" t="str">
        <f t="shared" si="163"/>
        <v>021</v>
      </c>
      <c r="B1215" s="4" t="s">
        <v>33</v>
      </c>
      <c r="C1215" s="4" t="str">
        <f>"杨聂溶"</f>
        <v>杨聂溶</v>
      </c>
      <c r="D1215" s="4" t="str">
        <f>"2021011010"</f>
        <v>2021011010</v>
      </c>
      <c r="E1215" s="4" t="str">
        <f>"10"</f>
        <v>10</v>
      </c>
      <c r="F1215" s="4" t="str">
        <f>"10"</f>
        <v>10</v>
      </c>
      <c r="G1215" s="4" t="s">
        <v>12</v>
      </c>
      <c r="H1215" s="5">
        <v>62.1</v>
      </c>
      <c r="I1215" s="4"/>
      <c r="J1215" s="4">
        <f>SUMPRODUCT(--((A1215=$A$3:$A$2785)*$H$3:$H$2785&gt;H1215))+1</f>
        <v>136</v>
      </c>
    </row>
    <row r="1216" s="1" customFormat="true" customHeight="true" spans="1:10">
      <c r="A1216" s="4" t="str">
        <f t="shared" si="163"/>
        <v>021</v>
      </c>
      <c r="B1216" s="4" t="s">
        <v>33</v>
      </c>
      <c r="C1216" s="4" t="str">
        <f>"张一"</f>
        <v>张一</v>
      </c>
      <c r="D1216" s="4" t="str">
        <f>"2021010514"</f>
        <v>2021010514</v>
      </c>
      <c r="E1216" s="4" t="str">
        <f>"05"</f>
        <v>05</v>
      </c>
      <c r="F1216" s="4" t="str">
        <f>"14"</f>
        <v>14</v>
      </c>
      <c r="G1216" s="4" t="s">
        <v>12</v>
      </c>
      <c r="H1216" s="5">
        <v>61.9</v>
      </c>
      <c r="I1216" s="4"/>
      <c r="J1216" s="4">
        <f>SUMPRODUCT(--((A1216=$A$3:$A$2785)*$H$3:$H$2785&gt;H1216))+1</f>
        <v>137</v>
      </c>
    </row>
    <row r="1217" s="1" customFormat="true" customHeight="true" spans="1:10">
      <c r="A1217" s="4" t="str">
        <f t="shared" si="163"/>
        <v>021</v>
      </c>
      <c r="B1217" s="4" t="s">
        <v>33</v>
      </c>
      <c r="C1217" s="4" t="str">
        <f>"郑玉婷"</f>
        <v>郑玉婷</v>
      </c>
      <c r="D1217" s="4" t="str">
        <f>"2021011504"</f>
        <v>2021011504</v>
      </c>
      <c r="E1217" s="4" t="str">
        <f>"15"</f>
        <v>15</v>
      </c>
      <c r="F1217" s="4" t="str">
        <f>"04"</f>
        <v>04</v>
      </c>
      <c r="G1217" s="4" t="s">
        <v>12</v>
      </c>
      <c r="H1217" s="5">
        <v>61.7</v>
      </c>
      <c r="I1217" s="4"/>
      <c r="J1217" s="4">
        <f>SUMPRODUCT(--((A1217=$A$3:$A$2785)*$H$3:$H$2785&gt;H1217))+1</f>
        <v>138</v>
      </c>
    </row>
    <row r="1218" s="1" customFormat="true" customHeight="true" spans="1:10">
      <c r="A1218" s="4" t="str">
        <f t="shared" si="163"/>
        <v>021</v>
      </c>
      <c r="B1218" s="4" t="s">
        <v>33</v>
      </c>
      <c r="C1218" s="4" t="str">
        <f>"孙甜甜"</f>
        <v>孙甜甜</v>
      </c>
      <c r="D1218" s="4" t="str">
        <f>"2021012009"</f>
        <v>2021012009</v>
      </c>
      <c r="E1218" s="4" t="str">
        <f>"20"</f>
        <v>20</v>
      </c>
      <c r="F1218" s="4" t="str">
        <f>"09"</f>
        <v>09</v>
      </c>
      <c r="G1218" s="4" t="s">
        <v>12</v>
      </c>
      <c r="H1218" s="5">
        <v>61.7</v>
      </c>
      <c r="I1218" s="4"/>
      <c r="J1218" s="4">
        <f>SUMPRODUCT(--((A1218=$A$3:$A$2785)*$H$3:$H$2785&gt;H1218))+1</f>
        <v>138</v>
      </c>
    </row>
    <row r="1219" s="1" customFormat="true" customHeight="true" spans="1:10">
      <c r="A1219" s="4" t="str">
        <f t="shared" si="163"/>
        <v>021</v>
      </c>
      <c r="B1219" s="4" t="s">
        <v>33</v>
      </c>
      <c r="C1219" s="4" t="str">
        <f>"黄梦萍"</f>
        <v>黄梦萍</v>
      </c>
      <c r="D1219" s="4" t="str">
        <f>"2021012224"</f>
        <v>2021012224</v>
      </c>
      <c r="E1219" s="4" t="str">
        <f>"22"</f>
        <v>22</v>
      </c>
      <c r="F1219" s="4" t="str">
        <f>"24"</f>
        <v>24</v>
      </c>
      <c r="G1219" s="4" t="s">
        <v>12</v>
      </c>
      <c r="H1219" s="5">
        <v>61.7</v>
      </c>
      <c r="I1219" s="4"/>
      <c r="J1219" s="4">
        <f>SUMPRODUCT(--((A1219=$A$3:$A$2785)*$H$3:$H$2785&gt;H1219))+1</f>
        <v>138</v>
      </c>
    </row>
    <row r="1220" s="1" customFormat="true" customHeight="true" spans="1:10">
      <c r="A1220" s="4" t="str">
        <f t="shared" si="163"/>
        <v>021</v>
      </c>
      <c r="B1220" s="4" t="s">
        <v>33</v>
      </c>
      <c r="C1220" s="4" t="str">
        <f>"王爱群"</f>
        <v>王爱群</v>
      </c>
      <c r="D1220" s="4" t="str">
        <f>"2021012028"</f>
        <v>2021012028</v>
      </c>
      <c r="E1220" s="4" t="str">
        <f>"20"</f>
        <v>20</v>
      </c>
      <c r="F1220" s="4" t="str">
        <f>"28"</f>
        <v>28</v>
      </c>
      <c r="G1220" s="4" t="s">
        <v>12</v>
      </c>
      <c r="H1220" s="5">
        <v>61.6</v>
      </c>
      <c r="I1220" s="4"/>
      <c r="J1220" s="4">
        <f>SUMPRODUCT(--((A1220=$A$3:$A$2785)*$H$3:$H$2785&gt;H1220))+1</f>
        <v>141</v>
      </c>
    </row>
    <row r="1221" s="1" customFormat="true" customHeight="true" spans="1:10">
      <c r="A1221" s="4" t="str">
        <f t="shared" si="163"/>
        <v>021</v>
      </c>
      <c r="B1221" s="4" t="s">
        <v>33</v>
      </c>
      <c r="C1221" s="4" t="str">
        <f>"吴昊谦"</f>
        <v>吴昊谦</v>
      </c>
      <c r="D1221" s="4" t="str">
        <f>"2021011118"</f>
        <v>2021011118</v>
      </c>
      <c r="E1221" s="4" t="str">
        <f>"11"</f>
        <v>11</v>
      </c>
      <c r="F1221" s="4" t="str">
        <f>"18"</f>
        <v>18</v>
      </c>
      <c r="G1221" s="4" t="s">
        <v>12</v>
      </c>
      <c r="H1221" s="5">
        <v>61.5</v>
      </c>
      <c r="I1221" s="4"/>
      <c r="J1221" s="4">
        <f>SUMPRODUCT(--((A1221=$A$3:$A$2785)*$H$3:$H$2785&gt;H1221))+1</f>
        <v>142</v>
      </c>
    </row>
    <row r="1222" s="1" customFormat="true" customHeight="true" spans="1:10">
      <c r="A1222" s="4" t="str">
        <f t="shared" si="163"/>
        <v>021</v>
      </c>
      <c r="B1222" s="4" t="s">
        <v>33</v>
      </c>
      <c r="C1222" s="4" t="str">
        <f>"谌连"</f>
        <v>谌连</v>
      </c>
      <c r="D1222" s="4" t="str">
        <f>"2021011919"</f>
        <v>2021011919</v>
      </c>
      <c r="E1222" s="4" t="str">
        <f>"19"</f>
        <v>19</v>
      </c>
      <c r="F1222" s="4" t="str">
        <f>"19"</f>
        <v>19</v>
      </c>
      <c r="G1222" s="4" t="s">
        <v>12</v>
      </c>
      <c r="H1222" s="5">
        <v>61.5</v>
      </c>
      <c r="I1222" s="4"/>
      <c r="J1222" s="4">
        <f>SUMPRODUCT(--((A1222=$A$3:$A$2785)*$H$3:$H$2785&gt;H1222))+1</f>
        <v>142</v>
      </c>
    </row>
    <row r="1223" s="1" customFormat="true" customHeight="true" spans="1:10">
      <c r="A1223" s="4" t="str">
        <f t="shared" si="163"/>
        <v>021</v>
      </c>
      <c r="B1223" s="4" t="s">
        <v>33</v>
      </c>
      <c r="C1223" s="4" t="str">
        <f>"刘芳"</f>
        <v>刘芳</v>
      </c>
      <c r="D1223" s="4" t="str">
        <f>"2021010913"</f>
        <v>2021010913</v>
      </c>
      <c r="E1223" s="4" t="str">
        <f>"09"</f>
        <v>09</v>
      </c>
      <c r="F1223" s="4" t="str">
        <f>"13"</f>
        <v>13</v>
      </c>
      <c r="G1223" s="4" t="s">
        <v>12</v>
      </c>
      <c r="H1223" s="5">
        <v>61.4</v>
      </c>
      <c r="I1223" s="4"/>
      <c r="J1223" s="4">
        <f>SUMPRODUCT(--((A1223=$A$3:$A$2785)*$H$3:$H$2785&gt;H1223))+1</f>
        <v>144</v>
      </c>
    </row>
    <row r="1224" s="1" customFormat="true" customHeight="true" spans="1:10">
      <c r="A1224" s="4" t="str">
        <f t="shared" si="163"/>
        <v>021</v>
      </c>
      <c r="B1224" s="4" t="s">
        <v>33</v>
      </c>
      <c r="C1224" s="4" t="str">
        <f>"向杨"</f>
        <v>向杨</v>
      </c>
      <c r="D1224" s="4" t="str">
        <f>"2021011505"</f>
        <v>2021011505</v>
      </c>
      <c r="E1224" s="4" t="str">
        <f>"15"</f>
        <v>15</v>
      </c>
      <c r="F1224" s="4" t="str">
        <f>"05"</f>
        <v>05</v>
      </c>
      <c r="G1224" s="4" t="s">
        <v>12</v>
      </c>
      <c r="H1224" s="5">
        <v>61.35</v>
      </c>
      <c r="I1224" s="4"/>
      <c r="J1224" s="4">
        <f>SUMPRODUCT(--((A1224=$A$3:$A$2785)*$H$3:$H$2785&gt;H1224))+1</f>
        <v>145</v>
      </c>
    </row>
    <row r="1225" s="1" customFormat="true" customHeight="true" spans="1:10">
      <c r="A1225" s="4" t="str">
        <f t="shared" si="163"/>
        <v>021</v>
      </c>
      <c r="B1225" s="4" t="s">
        <v>33</v>
      </c>
      <c r="C1225" s="4" t="str">
        <f>"钟赵男"</f>
        <v>钟赵男</v>
      </c>
      <c r="D1225" s="4" t="str">
        <f>"2021011124"</f>
        <v>2021011124</v>
      </c>
      <c r="E1225" s="4" t="str">
        <f>"11"</f>
        <v>11</v>
      </c>
      <c r="F1225" s="4" t="str">
        <f>"24"</f>
        <v>24</v>
      </c>
      <c r="G1225" s="4" t="s">
        <v>12</v>
      </c>
      <c r="H1225" s="5">
        <v>61.25</v>
      </c>
      <c r="I1225" s="4"/>
      <c r="J1225" s="4">
        <f>SUMPRODUCT(--((A1225=$A$3:$A$2785)*$H$3:$H$2785&gt;H1225))+1</f>
        <v>146</v>
      </c>
    </row>
    <row r="1226" s="1" customFormat="true" customHeight="true" spans="1:10">
      <c r="A1226" s="4" t="str">
        <f t="shared" si="163"/>
        <v>021</v>
      </c>
      <c r="B1226" s="4" t="s">
        <v>33</v>
      </c>
      <c r="C1226" s="4" t="str">
        <f>"向金梅"</f>
        <v>向金梅</v>
      </c>
      <c r="D1226" s="4" t="str">
        <f>"2021012014"</f>
        <v>2021012014</v>
      </c>
      <c r="E1226" s="4" t="str">
        <f>"20"</f>
        <v>20</v>
      </c>
      <c r="F1226" s="4" t="str">
        <f>"14"</f>
        <v>14</v>
      </c>
      <c r="G1226" s="4" t="s">
        <v>12</v>
      </c>
      <c r="H1226" s="5">
        <v>61.25</v>
      </c>
      <c r="I1226" s="4"/>
      <c r="J1226" s="4">
        <f>SUMPRODUCT(--((A1226=$A$3:$A$2785)*$H$3:$H$2785&gt;H1226))+1</f>
        <v>146</v>
      </c>
    </row>
    <row r="1227" s="1" customFormat="true" customHeight="true" spans="1:10">
      <c r="A1227" s="4" t="str">
        <f t="shared" si="163"/>
        <v>021</v>
      </c>
      <c r="B1227" s="4" t="s">
        <v>33</v>
      </c>
      <c r="C1227" s="4" t="str">
        <f>"彭铭"</f>
        <v>彭铭</v>
      </c>
      <c r="D1227" s="4" t="str">
        <f>"2021011425"</f>
        <v>2021011425</v>
      </c>
      <c r="E1227" s="4" t="str">
        <f>"14"</f>
        <v>14</v>
      </c>
      <c r="F1227" s="4" t="str">
        <f>"25"</f>
        <v>25</v>
      </c>
      <c r="G1227" s="4" t="s">
        <v>12</v>
      </c>
      <c r="H1227" s="5">
        <v>61.2</v>
      </c>
      <c r="I1227" s="4"/>
      <c r="J1227" s="4">
        <f>SUMPRODUCT(--((A1227=$A$3:$A$2785)*$H$3:$H$2785&gt;H1227))+1</f>
        <v>148</v>
      </c>
    </row>
    <row r="1228" s="1" customFormat="true" customHeight="true" spans="1:10">
      <c r="A1228" s="4" t="str">
        <f t="shared" si="163"/>
        <v>021</v>
      </c>
      <c r="B1228" s="4" t="s">
        <v>33</v>
      </c>
      <c r="C1228" s="4" t="str">
        <f>"欧阳慧"</f>
        <v>欧阳慧</v>
      </c>
      <c r="D1228" s="4" t="str">
        <f>"2021010705"</f>
        <v>2021010705</v>
      </c>
      <c r="E1228" s="4" t="str">
        <f>"07"</f>
        <v>07</v>
      </c>
      <c r="F1228" s="4" t="str">
        <f>"05"</f>
        <v>05</v>
      </c>
      <c r="G1228" s="4" t="s">
        <v>12</v>
      </c>
      <c r="H1228" s="5">
        <v>61.15</v>
      </c>
      <c r="I1228" s="4"/>
      <c r="J1228" s="4">
        <f>SUMPRODUCT(--((A1228=$A$3:$A$2785)*$H$3:$H$2785&gt;H1228))+1</f>
        <v>149</v>
      </c>
    </row>
    <row r="1229" s="1" customFormat="true" customHeight="true" spans="1:10">
      <c r="A1229" s="4" t="str">
        <f t="shared" si="163"/>
        <v>021</v>
      </c>
      <c r="B1229" s="4" t="s">
        <v>33</v>
      </c>
      <c r="C1229" s="4" t="str">
        <f>"莫玉钏"</f>
        <v>莫玉钏</v>
      </c>
      <c r="D1229" s="4" t="str">
        <f>"2021011025"</f>
        <v>2021011025</v>
      </c>
      <c r="E1229" s="4" t="str">
        <f>"10"</f>
        <v>10</v>
      </c>
      <c r="F1229" s="4" t="str">
        <f>"25"</f>
        <v>25</v>
      </c>
      <c r="G1229" s="4" t="s">
        <v>12</v>
      </c>
      <c r="H1229" s="5">
        <v>61.15</v>
      </c>
      <c r="I1229" s="4"/>
      <c r="J1229" s="4">
        <f>SUMPRODUCT(--((A1229=$A$3:$A$2785)*$H$3:$H$2785&gt;H1229))+1</f>
        <v>149</v>
      </c>
    </row>
    <row r="1230" s="1" customFormat="true" customHeight="true" spans="1:10">
      <c r="A1230" s="4" t="str">
        <f t="shared" si="163"/>
        <v>021</v>
      </c>
      <c r="B1230" s="4" t="s">
        <v>33</v>
      </c>
      <c r="C1230" s="4" t="str">
        <f>"张琴"</f>
        <v>张琴</v>
      </c>
      <c r="D1230" s="4" t="str">
        <f>"2021011604"</f>
        <v>2021011604</v>
      </c>
      <c r="E1230" s="4" t="str">
        <f>"16"</f>
        <v>16</v>
      </c>
      <c r="F1230" s="4" t="str">
        <f>"04"</f>
        <v>04</v>
      </c>
      <c r="G1230" s="4" t="s">
        <v>12</v>
      </c>
      <c r="H1230" s="5">
        <v>61.1</v>
      </c>
      <c r="I1230" s="4"/>
      <c r="J1230" s="4">
        <f>SUMPRODUCT(--((A1230=$A$3:$A$2785)*$H$3:$H$2785&gt;H1230))+1</f>
        <v>151</v>
      </c>
    </row>
    <row r="1231" s="1" customFormat="true" customHeight="true" spans="1:10">
      <c r="A1231" s="4" t="str">
        <f t="shared" si="163"/>
        <v>021</v>
      </c>
      <c r="B1231" s="4" t="s">
        <v>33</v>
      </c>
      <c r="C1231" s="4" t="str">
        <f>"舒元"</f>
        <v>舒元</v>
      </c>
      <c r="D1231" s="4" t="str">
        <f>"2021012201"</f>
        <v>2021012201</v>
      </c>
      <c r="E1231" s="4" t="str">
        <f>"22"</f>
        <v>22</v>
      </c>
      <c r="F1231" s="4" t="str">
        <f>"01"</f>
        <v>01</v>
      </c>
      <c r="G1231" s="4" t="s">
        <v>12</v>
      </c>
      <c r="H1231" s="5">
        <v>61.1</v>
      </c>
      <c r="I1231" s="4"/>
      <c r="J1231" s="4">
        <f>SUMPRODUCT(--((A1231=$A$3:$A$2785)*$H$3:$H$2785&gt;H1231))+1</f>
        <v>151</v>
      </c>
    </row>
    <row r="1232" s="1" customFormat="true" customHeight="true" spans="1:10">
      <c r="A1232" s="4" t="str">
        <f t="shared" si="163"/>
        <v>021</v>
      </c>
      <c r="B1232" s="4" t="s">
        <v>33</v>
      </c>
      <c r="C1232" s="4" t="str">
        <f>"明婉蓉"</f>
        <v>明婉蓉</v>
      </c>
      <c r="D1232" s="4" t="str">
        <f>"2021012205"</f>
        <v>2021012205</v>
      </c>
      <c r="E1232" s="4" t="str">
        <f>"22"</f>
        <v>22</v>
      </c>
      <c r="F1232" s="4" t="str">
        <f>"05"</f>
        <v>05</v>
      </c>
      <c r="G1232" s="4" t="s">
        <v>12</v>
      </c>
      <c r="H1232" s="5">
        <v>61.1</v>
      </c>
      <c r="I1232" s="4"/>
      <c r="J1232" s="4">
        <f>SUMPRODUCT(--((A1232=$A$3:$A$2785)*$H$3:$H$2785&gt;H1232))+1</f>
        <v>151</v>
      </c>
    </row>
    <row r="1233" s="1" customFormat="true" customHeight="true" spans="1:10">
      <c r="A1233" s="4" t="str">
        <f t="shared" si="163"/>
        <v>021</v>
      </c>
      <c r="B1233" s="4" t="s">
        <v>33</v>
      </c>
      <c r="C1233" s="4" t="str">
        <f>"钟巧灵"</f>
        <v>钟巧灵</v>
      </c>
      <c r="D1233" s="4" t="str">
        <f>"2021010720"</f>
        <v>2021010720</v>
      </c>
      <c r="E1233" s="4" t="str">
        <f>"07"</f>
        <v>07</v>
      </c>
      <c r="F1233" s="4" t="str">
        <f>"20"</f>
        <v>20</v>
      </c>
      <c r="G1233" s="4" t="s">
        <v>12</v>
      </c>
      <c r="H1233" s="5">
        <v>61.05</v>
      </c>
      <c r="I1233" s="4"/>
      <c r="J1233" s="4">
        <f>SUMPRODUCT(--((A1233=$A$3:$A$2785)*$H$3:$H$2785&gt;H1233))+1</f>
        <v>154</v>
      </c>
    </row>
    <row r="1234" s="1" customFormat="true" customHeight="true" spans="1:10">
      <c r="A1234" s="4" t="str">
        <f t="shared" si="163"/>
        <v>021</v>
      </c>
      <c r="B1234" s="4" t="s">
        <v>33</v>
      </c>
      <c r="C1234" s="4" t="str">
        <f>"蒲薇"</f>
        <v>蒲薇</v>
      </c>
      <c r="D1234" s="4" t="str">
        <f>"2021011401"</f>
        <v>2021011401</v>
      </c>
      <c r="E1234" s="4" t="str">
        <f>"14"</f>
        <v>14</v>
      </c>
      <c r="F1234" s="4" t="str">
        <f>"01"</f>
        <v>01</v>
      </c>
      <c r="G1234" s="4" t="s">
        <v>12</v>
      </c>
      <c r="H1234" s="5">
        <v>61.05</v>
      </c>
      <c r="I1234" s="4"/>
      <c r="J1234" s="4">
        <f>SUMPRODUCT(--((A1234=$A$3:$A$2785)*$H$3:$H$2785&gt;H1234))+1</f>
        <v>154</v>
      </c>
    </row>
    <row r="1235" s="1" customFormat="true" customHeight="true" spans="1:10">
      <c r="A1235" s="4" t="str">
        <f t="shared" si="163"/>
        <v>021</v>
      </c>
      <c r="B1235" s="4" t="s">
        <v>33</v>
      </c>
      <c r="C1235" s="4" t="str">
        <f>"陈璐"</f>
        <v>陈璐</v>
      </c>
      <c r="D1235" s="4" t="str">
        <f>"2021010912"</f>
        <v>2021010912</v>
      </c>
      <c r="E1235" s="4" t="str">
        <f>"09"</f>
        <v>09</v>
      </c>
      <c r="F1235" s="4" t="str">
        <f>"12"</f>
        <v>12</v>
      </c>
      <c r="G1235" s="4" t="s">
        <v>12</v>
      </c>
      <c r="H1235" s="5">
        <v>61</v>
      </c>
      <c r="I1235" s="4"/>
      <c r="J1235" s="4">
        <f>SUMPRODUCT(--((A1235=$A$3:$A$2785)*$H$3:$H$2785&gt;H1235))+1</f>
        <v>156</v>
      </c>
    </row>
    <row r="1236" s="1" customFormat="true" customHeight="true" spans="1:10">
      <c r="A1236" s="4" t="str">
        <f t="shared" si="163"/>
        <v>021</v>
      </c>
      <c r="B1236" s="4" t="s">
        <v>33</v>
      </c>
      <c r="C1236" s="4" t="str">
        <f>"杨晓慧"</f>
        <v>杨晓慧</v>
      </c>
      <c r="D1236" s="4" t="str">
        <f>"2021011313"</f>
        <v>2021011313</v>
      </c>
      <c r="E1236" s="4" t="str">
        <f>"13"</f>
        <v>13</v>
      </c>
      <c r="F1236" s="4" t="str">
        <f>"13"</f>
        <v>13</v>
      </c>
      <c r="G1236" s="4" t="s">
        <v>12</v>
      </c>
      <c r="H1236" s="5">
        <v>60.95</v>
      </c>
      <c r="I1236" s="4"/>
      <c r="J1236" s="4">
        <f>SUMPRODUCT(--((A1236=$A$3:$A$2785)*$H$3:$H$2785&gt;H1236))+1</f>
        <v>157</v>
      </c>
    </row>
    <row r="1237" s="1" customFormat="true" customHeight="true" spans="1:10">
      <c r="A1237" s="4" t="str">
        <f t="shared" si="163"/>
        <v>021</v>
      </c>
      <c r="B1237" s="4" t="s">
        <v>33</v>
      </c>
      <c r="C1237" s="4" t="str">
        <f>"刘敏"</f>
        <v>刘敏</v>
      </c>
      <c r="D1237" s="4" t="str">
        <f>"2021012304"</f>
        <v>2021012304</v>
      </c>
      <c r="E1237" s="4" t="str">
        <f>"23"</f>
        <v>23</v>
      </c>
      <c r="F1237" s="4" t="str">
        <f>"04"</f>
        <v>04</v>
      </c>
      <c r="G1237" s="4" t="s">
        <v>12</v>
      </c>
      <c r="H1237" s="5">
        <v>60.85</v>
      </c>
      <c r="I1237" s="4"/>
      <c r="J1237" s="4">
        <f>SUMPRODUCT(--((A1237=$A$3:$A$2785)*$H$3:$H$2785&gt;H1237))+1</f>
        <v>158</v>
      </c>
    </row>
    <row r="1238" s="1" customFormat="true" customHeight="true" spans="1:10">
      <c r="A1238" s="4" t="str">
        <f t="shared" si="163"/>
        <v>021</v>
      </c>
      <c r="B1238" s="4" t="s">
        <v>33</v>
      </c>
      <c r="C1238" s="4" t="str">
        <f>"张珈榕"</f>
        <v>张珈榕</v>
      </c>
      <c r="D1238" s="4" t="str">
        <f>"2021011122"</f>
        <v>2021011122</v>
      </c>
      <c r="E1238" s="4" t="str">
        <f>"11"</f>
        <v>11</v>
      </c>
      <c r="F1238" s="4" t="str">
        <f>"22"</f>
        <v>22</v>
      </c>
      <c r="G1238" s="4" t="s">
        <v>12</v>
      </c>
      <c r="H1238" s="5">
        <v>60.75</v>
      </c>
      <c r="I1238" s="4"/>
      <c r="J1238" s="4">
        <f>SUMPRODUCT(--((A1238=$A$3:$A$2785)*$H$3:$H$2785&gt;H1238))+1</f>
        <v>159</v>
      </c>
    </row>
    <row r="1239" s="1" customFormat="true" customHeight="true" spans="1:10">
      <c r="A1239" s="4" t="str">
        <f t="shared" si="163"/>
        <v>021</v>
      </c>
      <c r="B1239" s="4" t="s">
        <v>33</v>
      </c>
      <c r="C1239" s="4" t="str">
        <f>"龙梦娟"</f>
        <v>龙梦娟</v>
      </c>
      <c r="D1239" s="4" t="str">
        <f>"2021011727"</f>
        <v>2021011727</v>
      </c>
      <c r="E1239" s="4" t="str">
        <f>"17"</f>
        <v>17</v>
      </c>
      <c r="F1239" s="4" t="str">
        <f>"27"</f>
        <v>27</v>
      </c>
      <c r="G1239" s="4" t="s">
        <v>12</v>
      </c>
      <c r="H1239" s="5">
        <v>60.5</v>
      </c>
      <c r="I1239" s="4"/>
      <c r="J1239" s="4">
        <f>SUMPRODUCT(--((A1239=$A$3:$A$2785)*$H$3:$H$2785&gt;H1239))+1</f>
        <v>160</v>
      </c>
    </row>
    <row r="1240" s="1" customFormat="true" customHeight="true" spans="1:10">
      <c r="A1240" s="4" t="str">
        <f t="shared" si="163"/>
        <v>021</v>
      </c>
      <c r="B1240" s="4" t="s">
        <v>33</v>
      </c>
      <c r="C1240" s="4" t="str">
        <f>"刘婷瑶"</f>
        <v>刘婷瑶</v>
      </c>
      <c r="D1240" s="4" t="str">
        <f>"2021012106"</f>
        <v>2021012106</v>
      </c>
      <c r="E1240" s="4" t="str">
        <f>"21"</f>
        <v>21</v>
      </c>
      <c r="F1240" s="4" t="str">
        <f>"06"</f>
        <v>06</v>
      </c>
      <c r="G1240" s="4" t="s">
        <v>12</v>
      </c>
      <c r="H1240" s="5">
        <v>60.4</v>
      </c>
      <c r="I1240" s="4"/>
      <c r="J1240" s="4">
        <f>SUMPRODUCT(--((A1240=$A$3:$A$2785)*$H$3:$H$2785&gt;H1240))+1</f>
        <v>161</v>
      </c>
    </row>
    <row r="1241" s="1" customFormat="true" customHeight="true" spans="1:10">
      <c r="A1241" s="4" t="str">
        <f t="shared" si="163"/>
        <v>021</v>
      </c>
      <c r="B1241" s="4" t="s">
        <v>33</v>
      </c>
      <c r="C1241" s="4" t="str">
        <f>"杨群"</f>
        <v>杨群</v>
      </c>
      <c r="D1241" s="4" t="str">
        <f>"2021011018"</f>
        <v>2021011018</v>
      </c>
      <c r="E1241" s="4" t="str">
        <f>"10"</f>
        <v>10</v>
      </c>
      <c r="F1241" s="4" t="str">
        <f>"18"</f>
        <v>18</v>
      </c>
      <c r="G1241" s="4" t="s">
        <v>12</v>
      </c>
      <c r="H1241" s="5">
        <v>60.3</v>
      </c>
      <c r="I1241" s="4"/>
      <c r="J1241" s="4">
        <f>SUMPRODUCT(--((A1241=$A$3:$A$2785)*$H$3:$H$2785&gt;H1241))+1</f>
        <v>162</v>
      </c>
    </row>
    <row r="1242" s="1" customFormat="true" customHeight="true" spans="1:10">
      <c r="A1242" s="4" t="str">
        <f t="shared" si="163"/>
        <v>021</v>
      </c>
      <c r="B1242" s="4" t="s">
        <v>33</v>
      </c>
      <c r="C1242" s="4" t="str">
        <f>"姚沂岑"</f>
        <v>姚沂岑</v>
      </c>
      <c r="D1242" s="4" t="str">
        <f>"2021010903"</f>
        <v>2021010903</v>
      </c>
      <c r="E1242" s="4" t="str">
        <f>"09"</f>
        <v>09</v>
      </c>
      <c r="F1242" s="4" t="str">
        <f>"03"</f>
        <v>03</v>
      </c>
      <c r="G1242" s="4" t="s">
        <v>12</v>
      </c>
      <c r="H1242" s="5">
        <v>60.25</v>
      </c>
      <c r="I1242" s="4"/>
      <c r="J1242" s="4">
        <f>SUMPRODUCT(--((A1242=$A$3:$A$2785)*$H$3:$H$2785&gt;H1242))+1</f>
        <v>163</v>
      </c>
    </row>
    <row r="1243" s="1" customFormat="true" customHeight="true" spans="1:10">
      <c r="A1243" s="4" t="str">
        <f t="shared" si="163"/>
        <v>021</v>
      </c>
      <c r="B1243" s="4" t="s">
        <v>33</v>
      </c>
      <c r="C1243" s="4" t="str">
        <f>"田秋燕"</f>
        <v>田秋燕</v>
      </c>
      <c r="D1243" s="4" t="str">
        <f>"2021010916"</f>
        <v>2021010916</v>
      </c>
      <c r="E1243" s="4" t="str">
        <f>"09"</f>
        <v>09</v>
      </c>
      <c r="F1243" s="4" t="str">
        <f>"16"</f>
        <v>16</v>
      </c>
      <c r="G1243" s="4" t="s">
        <v>12</v>
      </c>
      <c r="H1243" s="5">
        <v>60.1</v>
      </c>
      <c r="I1243" s="4"/>
      <c r="J1243" s="4">
        <f>SUMPRODUCT(--((A1243=$A$3:$A$2785)*$H$3:$H$2785&gt;H1243))+1</f>
        <v>164</v>
      </c>
    </row>
    <row r="1244" s="1" customFormat="true" customHeight="true" spans="1:10">
      <c r="A1244" s="4" t="str">
        <f t="shared" si="163"/>
        <v>021</v>
      </c>
      <c r="B1244" s="4" t="s">
        <v>33</v>
      </c>
      <c r="C1244" s="4" t="str">
        <f>"舒霞"</f>
        <v>舒霞</v>
      </c>
      <c r="D1244" s="4" t="str">
        <f>"2021011021"</f>
        <v>2021011021</v>
      </c>
      <c r="E1244" s="4" t="str">
        <f>"10"</f>
        <v>10</v>
      </c>
      <c r="F1244" s="4" t="str">
        <f>"21"</f>
        <v>21</v>
      </c>
      <c r="G1244" s="4" t="s">
        <v>12</v>
      </c>
      <c r="H1244" s="5">
        <v>60.05</v>
      </c>
      <c r="I1244" s="4"/>
      <c r="J1244" s="4">
        <f>SUMPRODUCT(--((A1244=$A$3:$A$2785)*$H$3:$H$2785&gt;H1244))+1</f>
        <v>165</v>
      </c>
    </row>
    <row r="1245" s="1" customFormat="true" customHeight="true" spans="1:10">
      <c r="A1245" s="4" t="str">
        <f t="shared" si="163"/>
        <v>021</v>
      </c>
      <c r="B1245" s="4" t="s">
        <v>33</v>
      </c>
      <c r="C1245" s="4" t="str">
        <f>"龚旻煜"</f>
        <v>龚旻煜</v>
      </c>
      <c r="D1245" s="4" t="str">
        <f>"2021010803"</f>
        <v>2021010803</v>
      </c>
      <c r="E1245" s="4" t="str">
        <f>"08"</f>
        <v>08</v>
      </c>
      <c r="F1245" s="4" t="str">
        <f>"03"</f>
        <v>03</v>
      </c>
      <c r="G1245" s="4" t="s">
        <v>12</v>
      </c>
      <c r="H1245" s="5">
        <v>60</v>
      </c>
      <c r="I1245" s="4"/>
      <c r="J1245" s="4">
        <f>SUMPRODUCT(--((A1245=$A$3:$A$2785)*$H$3:$H$2785&gt;H1245))+1</f>
        <v>166</v>
      </c>
    </row>
    <row r="1246" s="1" customFormat="true" customHeight="true" spans="1:10">
      <c r="A1246" s="4" t="str">
        <f t="shared" si="163"/>
        <v>021</v>
      </c>
      <c r="B1246" s="4" t="s">
        <v>33</v>
      </c>
      <c r="C1246" s="4" t="str">
        <f>"周颖"</f>
        <v>周颖</v>
      </c>
      <c r="D1246" s="4" t="str">
        <f>"2021011814"</f>
        <v>2021011814</v>
      </c>
      <c r="E1246" s="4" t="str">
        <f>"18"</f>
        <v>18</v>
      </c>
      <c r="F1246" s="4" t="str">
        <f t="shared" ref="F1246:F1251" si="164">"14"</f>
        <v>14</v>
      </c>
      <c r="G1246" s="4" t="s">
        <v>12</v>
      </c>
      <c r="H1246" s="5">
        <v>60</v>
      </c>
      <c r="I1246" s="4"/>
      <c r="J1246" s="4">
        <f>SUMPRODUCT(--((A1246=$A$3:$A$2785)*$H$3:$H$2785&gt;H1246))+1</f>
        <v>166</v>
      </c>
    </row>
    <row r="1247" s="1" customFormat="true" customHeight="true" spans="1:10">
      <c r="A1247" s="4" t="str">
        <f t="shared" si="163"/>
        <v>021</v>
      </c>
      <c r="B1247" s="4" t="s">
        <v>33</v>
      </c>
      <c r="C1247" s="4" t="str">
        <f>"赵萍"</f>
        <v>赵萍</v>
      </c>
      <c r="D1247" s="4" t="str">
        <f>"2021010524"</f>
        <v>2021010524</v>
      </c>
      <c r="E1247" s="4" t="str">
        <f>"05"</f>
        <v>05</v>
      </c>
      <c r="F1247" s="4" t="str">
        <f>"24"</f>
        <v>24</v>
      </c>
      <c r="G1247" s="4" t="s">
        <v>12</v>
      </c>
      <c r="H1247" s="5">
        <v>59.95</v>
      </c>
      <c r="I1247" s="4"/>
      <c r="J1247" s="4">
        <f>SUMPRODUCT(--((A1247=$A$3:$A$2785)*$H$3:$H$2785&gt;H1247))+1</f>
        <v>168</v>
      </c>
    </row>
    <row r="1248" s="1" customFormat="true" customHeight="true" spans="1:10">
      <c r="A1248" s="4" t="str">
        <f t="shared" si="163"/>
        <v>021</v>
      </c>
      <c r="B1248" s="4" t="s">
        <v>33</v>
      </c>
      <c r="C1248" s="4" t="str">
        <f>"贺梦凡"</f>
        <v>贺梦凡</v>
      </c>
      <c r="D1248" s="4" t="str">
        <f>"2021011414"</f>
        <v>2021011414</v>
      </c>
      <c r="E1248" s="4" t="str">
        <f>"14"</f>
        <v>14</v>
      </c>
      <c r="F1248" s="4" t="str">
        <f t="shared" si="164"/>
        <v>14</v>
      </c>
      <c r="G1248" s="4" t="s">
        <v>12</v>
      </c>
      <c r="H1248" s="5">
        <v>59.95</v>
      </c>
      <c r="I1248" s="4"/>
      <c r="J1248" s="4">
        <f>SUMPRODUCT(--((A1248=$A$3:$A$2785)*$H$3:$H$2785&gt;H1248))+1</f>
        <v>168</v>
      </c>
    </row>
    <row r="1249" s="1" customFormat="true" customHeight="true" spans="1:10">
      <c r="A1249" s="4" t="str">
        <f t="shared" si="163"/>
        <v>021</v>
      </c>
      <c r="B1249" s="4" t="s">
        <v>33</v>
      </c>
      <c r="C1249" s="4" t="str">
        <f>"谢钟霞"</f>
        <v>谢钟霞</v>
      </c>
      <c r="D1249" s="4" t="str">
        <f>"2021011710"</f>
        <v>2021011710</v>
      </c>
      <c r="E1249" s="4" t="str">
        <f>"17"</f>
        <v>17</v>
      </c>
      <c r="F1249" s="4" t="str">
        <f>"10"</f>
        <v>10</v>
      </c>
      <c r="G1249" s="4" t="s">
        <v>12</v>
      </c>
      <c r="H1249" s="5">
        <v>59.95</v>
      </c>
      <c r="I1249" s="4"/>
      <c r="J1249" s="4">
        <f>SUMPRODUCT(--((A1249=$A$3:$A$2785)*$H$3:$H$2785&gt;H1249))+1</f>
        <v>168</v>
      </c>
    </row>
    <row r="1250" s="1" customFormat="true" customHeight="true" spans="1:10">
      <c r="A1250" s="4" t="str">
        <f t="shared" si="163"/>
        <v>021</v>
      </c>
      <c r="B1250" s="4" t="s">
        <v>33</v>
      </c>
      <c r="C1250" s="4" t="str">
        <f>"曾薇洋"</f>
        <v>曾薇洋</v>
      </c>
      <c r="D1250" s="4" t="str">
        <f>"2021011714"</f>
        <v>2021011714</v>
      </c>
      <c r="E1250" s="4" t="str">
        <f>"17"</f>
        <v>17</v>
      </c>
      <c r="F1250" s="4" t="str">
        <f t="shared" si="164"/>
        <v>14</v>
      </c>
      <c r="G1250" s="4" t="s">
        <v>12</v>
      </c>
      <c r="H1250" s="5">
        <v>59.95</v>
      </c>
      <c r="I1250" s="4"/>
      <c r="J1250" s="4">
        <f>SUMPRODUCT(--((A1250=$A$3:$A$2785)*$H$3:$H$2785&gt;H1250))+1</f>
        <v>168</v>
      </c>
    </row>
    <row r="1251" s="1" customFormat="true" customHeight="true" spans="1:10">
      <c r="A1251" s="4" t="str">
        <f t="shared" si="163"/>
        <v>021</v>
      </c>
      <c r="B1251" s="4" t="s">
        <v>33</v>
      </c>
      <c r="C1251" s="4" t="str">
        <f>"张秦"</f>
        <v>张秦</v>
      </c>
      <c r="D1251" s="4" t="str">
        <f>"2021011014"</f>
        <v>2021011014</v>
      </c>
      <c r="E1251" s="4" t="str">
        <f>"10"</f>
        <v>10</v>
      </c>
      <c r="F1251" s="4" t="str">
        <f t="shared" si="164"/>
        <v>14</v>
      </c>
      <c r="G1251" s="4" t="s">
        <v>12</v>
      </c>
      <c r="H1251" s="5">
        <v>59.85</v>
      </c>
      <c r="I1251" s="4"/>
      <c r="J1251" s="4">
        <f>SUMPRODUCT(--((A1251=$A$3:$A$2785)*$H$3:$H$2785&gt;H1251))+1</f>
        <v>172</v>
      </c>
    </row>
    <row r="1252" s="1" customFormat="true" customHeight="true" spans="1:10">
      <c r="A1252" s="4" t="str">
        <f t="shared" si="163"/>
        <v>021</v>
      </c>
      <c r="B1252" s="4" t="s">
        <v>33</v>
      </c>
      <c r="C1252" s="4" t="str">
        <f>"胡倩"</f>
        <v>胡倩</v>
      </c>
      <c r="D1252" s="4" t="str">
        <f>"2021010512"</f>
        <v>2021010512</v>
      </c>
      <c r="E1252" s="4" t="str">
        <f>"05"</f>
        <v>05</v>
      </c>
      <c r="F1252" s="4" t="str">
        <f>"12"</f>
        <v>12</v>
      </c>
      <c r="G1252" s="4" t="s">
        <v>12</v>
      </c>
      <c r="H1252" s="5">
        <v>59.75</v>
      </c>
      <c r="I1252" s="4"/>
      <c r="J1252" s="4">
        <f>SUMPRODUCT(--((A1252=$A$3:$A$2785)*$H$3:$H$2785&gt;H1252))+1</f>
        <v>173</v>
      </c>
    </row>
    <row r="1253" s="1" customFormat="true" customHeight="true" spans="1:10">
      <c r="A1253" s="4" t="str">
        <f t="shared" si="163"/>
        <v>021</v>
      </c>
      <c r="B1253" s="4" t="s">
        <v>33</v>
      </c>
      <c r="C1253" s="4" t="str">
        <f>"谢琴"</f>
        <v>谢琴</v>
      </c>
      <c r="D1253" s="4" t="str">
        <f>"2021012015"</f>
        <v>2021012015</v>
      </c>
      <c r="E1253" s="4" t="str">
        <f>"20"</f>
        <v>20</v>
      </c>
      <c r="F1253" s="4" t="str">
        <f>"15"</f>
        <v>15</v>
      </c>
      <c r="G1253" s="4" t="s">
        <v>12</v>
      </c>
      <c r="H1253" s="5">
        <v>59.6</v>
      </c>
      <c r="I1253" s="4"/>
      <c r="J1253" s="4">
        <f>SUMPRODUCT(--((A1253=$A$3:$A$2785)*$H$3:$H$2785&gt;H1253))+1</f>
        <v>174</v>
      </c>
    </row>
    <row r="1254" s="1" customFormat="true" customHeight="true" spans="1:10">
      <c r="A1254" s="4" t="str">
        <f t="shared" si="163"/>
        <v>021</v>
      </c>
      <c r="B1254" s="4" t="s">
        <v>33</v>
      </c>
      <c r="C1254" s="4" t="str">
        <f>"龙立莹"</f>
        <v>龙立莹</v>
      </c>
      <c r="D1254" s="4" t="str">
        <f>"2021011502"</f>
        <v>2021011502</v>
      </c>
      <c r="E1254" s="4" t="str">
        <f>"15"</f>
        <v>15</v>
      </c>
      <c r="F1254" s="4" t="str">
        <f>"02"</f>
        <v>02</v>
      </c>
      <c r="G1254" s="4" t="s">
        <v>12</v>
      </c>
      <c r="H1254" s="5">
        <v>59.45</v>
      </c>
      <c r="I1254" s="4"/>
      <c r="J1254" s="4">
        <f>SUMPRODUCT(--((A1254=$A$3:$A$2785)*$H$3:$H$2785&gt;H1254))+1</f>
        <v>175</v>
      </c>
    </row>
    <row r="1255" s="1" customFormat="true" customHeight="true" spans="1:10">
      <c r="A1255" s="4" t="str">
        <f t="shared" si="163"/>
        <v>021</v>
      </c>
      <c r="B1255" s="4" t="s">
        <v>33</v>
      </c>
      <c r="C1255" s="4" t="str">
        <f>"刘菲"</f>
        <v>刘菲</v>
      </c>
      <c r="D1255" s="4" t="str">
        <f>"2021011602"</f>
        <v>2021011602</v>
      </c>
      <c r="E1255" s="4" t="str">
        <f>"16"</f>
        <v>16</v>
      </c>
      <c r="F1255" s="4" t="str">
        <f>"02"</f>
        <v>02</v>
      </c>
      <c r="G1255" s="4" t="s">
        <v>12</v>
      </c>
      <c r="H1255" s="5">
        <v>59.25</v>
      </c>
      <c r="I1255" s="4"/>
      <c r="J1255" s="4">
        <f>SUMPRODUCT(--((A1255=$A$3:$A$2785)*$H$3:$H$2785&gt;H1255))+1</f>
        <v>176</v>
      </c>
    </row>
    <row r="1256" s="1" customFormat="true" customHeight="true" spans="1:10">
      <c r="A1256" s="4" t="str">
        <f t="shared" si="163"/>
        <v>021</v>
      </c>
      <c r="B1256" s="4" t="s">
        <v>33</v>
      </c>
      <c r="C1256" s="4" t="str">
        <f>"朱师艺"</f>
        <v>朱师艺</v>
      </c>
      <c r="D1256" s="4" t="str">
        <f>"2021012227"</f>
        <v>2021012227</v>
      </c>
      <c r="E1256" s="4" t="str">
        <f>"22"</f>
        <v>22</v>
      </c>
      <c r="F1256" s="4" t="str">
        <f>"27"</f>
        <v>27</v>
      </c>
      <c r="G1256" s="4" t="s">
        <v>12</v>
      </c>
      <c r="H1256" s="5">
        <v>59.25</v>
      </c>
      <c r="I1256" s="4"/>
      <c r="J1256" s="4">
        <f>SUMPRODUCT(--((A1256=$A$3:$A$2785)*$H$3:$H$2785&gt;H1256))+1</f>
        <v>176</v>
      </c>
    </row>
    <row r="1257" s="1" customFormat="true" customHeight="true" spans="1:10">
      <c r="A1257" s="4" t="str">
        <f t="shared" si="163"/>
        <v>021</v>
      </c>
      <c r="B1257" s="4" t="s">
        <v>33</v>
      </c>
      <c r="C1257" s="4" t="str">
        <f>"龙茜"</f>
        <v>龙茜</v>
      </c>
      <c r="D1257" s="4" t="str">
        <f>"2021011406"</f>
        <v>2021011406</v>
      </c>
      <c r="E1257" s="4" t="str">
        <f>"14"</f>
        <v>14</v>
      </c>
      <c r="F1257" s="4" t="str">
        <f>"06"</f>
        <v>06</v>
      </c>
      <c r="G1257" s="4" t="s">
        <v>12</v>
      </c>
      <c r="H1257" s="5">
        <v>59.2</v>
      </c>
      <c r="I1257" s="4"/>
      <c r="J1257" s="4">
        <f>SUMPRODUCT(--((A1257=$A$3:$A$2785)*$H$3:$H$2785&gt;H1257))+1</f>
        <v>178</v>
      </c>
    </row>
    <row r="1258" s="1" customFormat="true" customHeight="true" spans="1:10">
      <c r="A1258" s="4" t="str">
        <f t="shared" si="163"/>
        <v>021</v>
      </c>
      <c r="B1258" s="4" t="s">
        <v>33</v>
      </c>
      <c r="C1258" s="4" t="str">
        <f>"莫露"</f>
        <v>莫露</v>
      </c>
      <c r="D1258" s="4" t="str">
        <f>"2021011616"</f>
        <v>2021011616</v>
      </c>
      <c r="E1258" s="4" t="str">
        <f>"16"</f>
        <v>16</v>
      </c>
      <c r="F1258" s="4" t="str">
        <f>"16"</f>
        <v>16</v>
      </c>
      <c r="G1258" s="4" t="s">
        <v>12</v>
      </c>
      <c r="H1258" s="5">
        <v>59.2</v>
      </c>
      <c r="I1258" s="4"/>
      <c r="J1258" s="4">
        <f>SUMPRODUCT(--((A1258=$A$3:$A$2785)*$H$3:$H$2785&gt;H1258))+1</f>
        <v>178</v>
      </c>
    </row>
    <row r="1259" s="1" customFormat="true" customHeight="true" spans="1:10">
      <c r="A1259" s="4" t="str">
        <f t="shared" si="163"/>
        <v>021</v>
      </c>
      <c r="B1259" s="4" t="s">
        <v>33</v>
      </c>
      <c r="C1259" s="4" t="str">
        <f>"罗爱春"</f>
        <v>罗爱春</v>
      </c>
      <c r="D1259" s="4" t="str">
        <f>"2021010714"</f>
        <v>2021010714</v>
      </c>
      <c r="E1259" s="4" t="str">
        <f>"07"</f>
        <v>07</v>
      </c>
      <c r="F1259" s="4" t="str">
        <f>"14"</f>
        <v>14</v>
      </c>
      <c r="G1259" s="4" t="s">
        <v>12</v>
      </c>
      <c r="H1259" s="5">
        <v>59</v>
      </c>
      <c r="I1259" s="4"/>
      <c r="J1259" s="4">
        <f>SUMPRODUCT(--((A1259=$A$3:$A$2785)*$H$3:$H$2785&gt;H1259))+1</f>
        <v>180</v>
      </c>
    </row>
    <row r="1260" s="1" customFormat="true" customHeight="true" spans="1:10">
      <c r="A1260" s="4" t="str">
        <f t="shared" si="163"/>
        <v>021</v>
      </c>
      <c r="B1260" s="4" t="s">
        <v>33</v>
      </c>
      <c r="C1260" s="4" t="str">
        <f>"谭熠"</f>
        <v>谭熠</v>
      </c>
      <c r="D1260" s="4" t="str">
        <f>"2021011823"</f>
        <v>2021011823</v>
      </c>
      <c r="E1260" s="4" t="str">
        <f>"18"</f>
        <v>18</v>
      </c>
      <c r="F1260" s="4" t="str">
        <f>"23"</f>
        <v>23</v>
      </c>
      <c r="G1260" s="4" t="s">
        <v>12</v>
      </c>
      <c r="H1260" s="5">
        <v>59</v>
      </c>
      <c r="I1260" s="4"/>
      <c r="J1260" s="4">
        <f>SUMPRODUCT(--((A1260=$A$3:$A$2785)*$H$3:$H$2785&gt;H1260))+1</f>
        <v>180</v>
      </c>
    </row>
    <row r="1261" s="1" customFormat="true" customHeight="true" spans="1:10">
      <c r="A1261" s="4" t="str">
        <f t="shared" si="163"/>
        <v>021</v>
      </c>
      <c r="B1261" s="4" t="s">
        <v>33</v>
      </c>
      <c r="C1261" s="4" t="str">
        <f>"吴惠珍"</f>
        <v>吴惠珍</v>
      </c>
      <c r="D1261" s="4" t="str">
        <f>"2021011315"</f>
        <v>2021011315</v>
      </c>
      <c r="E1261" s="4" t="str">
        <f>"13"</f>
        <v>13</v>
      </c>
      <c r="F1261" s="4" t="str">
        <f>"15"</f>
        <v>15</v>
      </c>
      <c r="G1261" s="4" t="s">
        <v>12</v>
      </c>
      <c r="H1261" s="5">
        <v>58.95</v>
      </c>
      <c r="I1261" s="4"/>
      <c r="J1261" s="4">
        <f>SUMPRODUCT(--((A1261=$A$3:$A$2785)*$H$3:$H$2785&gt;H1261))+1</f>
        <v>182</v>
      </c>
    </row>
    <row r="1262" s="1" customFormat="true" customHeight="true" spans="1:10">
      <c r="A1262" s="4" t="str">
        <f t="shared" si="163"/>
        <v>021</v>
      </c>
      <c r="B1262" s="4" t="s">
        <v>33</v>
      </c>
      <c r="C1262" s="4" t="str">
        <f>"杨静"</f>
        <v>杨静</v>
      </c>
      <c r="D1262" s="4" t="str">
        <f>"2021012230"</f>
        <v>2021012230</v>
      </c>
      <c r="E1262" s="4" t="str">
        <f t="shared" ref="E1262:E1267" si="165">"22"</f>
        <v>22</v>
      </c>
      <c r="F1262" s="4" t="str">
        <f>"30"</f>
        <v>30</v>
      </c>
      <c r="G1262" s="4" t="s">
        <v>12</v>
      </c>
      <c r="H1262" s="5">
        <v>58.95</v>
      </c>
      <c r="I1262" s="4"/>
      <c r="J1262" s="4">
        <f>SUMPRODUCT(--((A1262=$A$3:$A$2785)*$H$3:$H$2785&gt;H1262))+1</f>
        <v>182</v>
      </c>
    </row>
    <row r="1263" s="1" customFormat="true" customHeight="true" spans="1:10">
      <c r="A1263" s="4" t="str">
        <f t="shared" si="163"/>
        <v>021</v>
      </c>
      <c r="B1263" s="4" t="s">
        <v>33</v>
      </c>
      <c r="C1263" s="4" t="str">
        <f>"陈媛"</f>
        <v>陈媛</v>
      </c>
      <c r="D1263" s="4" t="str">
        <f>"2021012220"</f>
        <v>2021012220</v>
      </c>
      <c r="E1263" s="4" t="str">
        <f t="shared" si="165"/>
        <v>22</v>
      </c>
      <c r="F1263" s="4" t="str">
        <f>"20"</f>
        <v>20</v>
      </c>
      <c r="G1263" s="4" t="s">
        <v>12</v>
      </c>
      <c r="H1263" s="5">
        <v>58.85</v>
      </c>
      <c r="I1263" s="4"/>
      <c r="J1263" s="4">
        <f>SUMPRODUCT(--((A1263=$A$3:$A$2785)*$H$3:$H$2785&gt;H1263))+1</f>
        <v>184</v>
      </c>
    </row>
    <row r="1264" s="1" customFormat="true" customHeight="true" spans="1:10">
      <c r="A1264" s="4" t="str">
        <f t="shared" si="163"/>
        <v>021</v>
      </c>
      <c r="B1264" s="4" t="s">
        <v>33</v>
      </c>
      <c r="C1264" s="4" t="str">
        <f>"汪娅如"</f>
        <v>汪娅如</v>
      </c>
      <c r="D1264" s="4" t="str">
        <f>"2021011627"</f>
        <v>2021011627</v>
      </c>
      <c r="E1264" s="4" t="str">
        <f>"16"</f>
        <v>16</v>
      </c>
      <c r="F1264" s="4" t="str">
        <f>"27"</f>
        <v>27</v>
      </c>
      <c r="G1264" s="4" t="s">
        <v>12</v>
      </c>
      <c r="H1264" s="5">
        <v>58.8</v>
      </c>
      <c r="I1264" s="4"/>
      <c r="J1264" s="4">
        <f>SUMPRODUCT(--((A1264=$A$3:$A$2785)*$H$3:$H$2785&gt;H1264))+1</f>
        <v>185</v>
      </c>
    </row>
    <row r="1265" s="1" customFormat="true" customHeight="true" spans="1:10">
      <c r="A1265" s="4" t="str">
        <f t="shared" si="163"/>
        <v>021</v>
      </c>
      <c r="B1265" s="4" t="s">
        <v>33</v>
      </c>
      <c r="C1265" s="4" t="str">
        <f>"罗朝霞"</f>
        <v>罗朝霞</v>
      </c>
      <c r="D1265" s="4" t="str">
        <f>"2021011628"</f>
        <v>2021011628</v>
      </c>
      <c r="E1265" s="4" t="str">
        <f>"16"</f>
        <v>16</v>
      </c>
      <c r="F1265" s="4" t="str">
        <f>"28"</f>
        <v>28</v>
      </c>
      <c r="G1265" s="4" t="s">
        <v>12</v>
      </c>
      <c r="H1265" s="5">
        <v>58.8</v>
      </c>
      <c r="I1265" s="4"/>
      <c r="J1265" s="4">
        <f>SUMPRODUCT(--((A1265=$A$3:$A$2785)*$H$3:$H$2785&gt;H1265))+1</f>
        <v>185</v>
      </c>
    </row>
    <row r="1266" s="1" customFormat="true" customHeight="true" spans="1:10">
      <c r="A1266" s="4" t="str">
        <f t="shared" si="163"/>
        <v>021</v>
      </c>
      <c r="B1266" s="4" t="s">
        <v>33</v>
      </c>
      <c r="C1266" s="4" t="str">
        <f>"向芳丽"</f>
        <v>向芳丽</v>
      </c>
      <c r="D1266" s="4" t="str">
        <f>"2021010823"</f>
        <v>2021010823</v>
      </c>
      <c r="E1266" s="4" t="str">
        <f t="shared" ref="E1266:E1271" si="166">"08"</f>
        <v>08</v>
      </c>
      <c r="F1266" s="4" t="str">
        <f>"23"</f>
        <v>23</v>
      </c>
      <c r="G1266" s="4" t="s">
        <v>12</v>
      </c>
      <c r="H1266" s="5">
        <v>58.7</v>
      </c>
      <c r="I1266" s="4"/>
      <c r="J1266" s="4">
        <f>SUMPRODUCT(--((A1266=$A$3:$A$2785)*$H$3:$H$2785&gt;H1266))+1</f>
        <v>187</v>
      </c>
    </row>
    <row r="1267" s="1" customFormat="true" customHeight="true" spans="1:10">
      <c r="A1267" s="4" t="str">
        <f t="shared" si="163"/>
        <v>021</v>
      </c>
      <c r="B1267" s="4" t="s">
        <v>33</v>
      </c>
      <c r="C1267" s="4" t="str">
        <f>"张鑫"</f>
        <v>张鑫</v>
      </c>
      <c r="D1267" s="4" t="str">
        <f>"2021012216"</f>
        <v>2021012216</v>
      </c>
      <c r="E1267" s="4" t="str">
        <f t="shared" si="165"/>
        <v>22</v>
      </c>
      <c r="F1267" s="4" t="str">
        <f>"16"</f>
        <v>16</v>
      </c>
      <c r="G1267" s="4" t="s">
        <v>12</v>
      </c>
      <c r="H1267" s="5">
        <v>58.5</v>
      </c>
      <c r="I1267" s="4"/>
      <c r="J1267" s="4">
        <f>SUMPRODUCT(--((A1267=$A$3:$A$2785)*$H$3:$H$2785&gt;H1267))+1</f>
        <v>188</v>
      </c>
    </row>
    <row r="1268" s="1" customFormat="true" customHeight="true" spans="1:10">
      <c r="A1268" s="4" t="str">
        <f t="shared" si="163"/>
        <v>021</v>
      </c>
      <c r="B1268" s="4" t="s">
        <v>33</v>
      </c>
      <c r="C1268" s="4" t="str">
        <f>"孙文君"</f>
        <v>孙文君</v>
      </c>
      <c r="D1268" s="4" t="str">
        <f>"2021010814"</f>
        <v>2021010814</v>
      </c>
      <c r="E1268" s="4" t="str">
        <f t="shared" si="166"/>
        <v>08</v>
      </c>
      <c r="F1268" s="4" t="str">
        <f>"14"</f>
        <v>14</v>
      </c>
      <c r="G1268" s="4" t="s">
        <v>12</v>
      </c>
      <c r="H1268" s="5">
        <v>58.4</v>
      </c>
      <c r="I1268" s="4"/>
      <c r="J1268" s="4">
        <f>SUMPRODUCT(--((A1268=$A$3:$A$2785)*$H$3:$H$2785&gt;H1268))+1</f>
        <v>189</v>
      </c>
    </row>
    <row r="1269" s="1" customFormat="true" customHeight="true" spans="1:10">
      <c r="A1269" s="4" t="str">
        <f t="shared" si="163"/>
        <v>021</v>
      </c>
      <c r="B1269" s="4" t="s">
        <v>33</v>
      </c>
      <c r="C1269" s="4" t="str">
        <f>"肖云云"</f>
        <v>肖云云</v>
      </c>
      <c r="D1269" s="4" t="str">
        <f>"2021010513"</f>
        <v>2021010513</v>
      </c>
      <c r="E1269" s="4" t="str">
        <f>"05"</f>
        <v>05</v>
      </c>
      <c r="F1269" s="4" t="str">
        <f>"13"</f>
        <v>13</v>
      </c>
      <c r="G1269" s="4" t="s">
        <v>12</v>
      </c>
      <c r="H1269" s="5">
        <v>58.35</v>
      </c>
      <c r="I1269" s="4"/>
      <c r="J1269" s="4">
        <f>SUMPRODUCT(--((A1269=$A$3:$A$2785)*$H$3:$H$2785&gt;H1269))+1</f>
        <v>190</v>
      </c>
    </row>
    <row r="1270" s="1" customFormat="true" customHeight="true" spans="1:10">
      <c r="A1270" s="4" t="str">
        <f t="shared" si="163"/>
        <v>021</v>
      </c>
      <c r="B1270" s="4" t="s">
        <v>33</v>
      </c>
      <c r="C1270" s="4" t="str">
        <f>"王凤平"</f>
        <v>王凤平</v>
      </c>
      <c r="D1270" s="4" t="str">
        <f>"2021011323"</f>
        <v>2021011323</v>
      </c>
      <c r="E1270" s="4" t="str">
        <f>"13"</f>
        <v>13</v>
      </c>
      <c r="F1270" s="4" t="str">
        <f>"23"</f>
        <v>23</v>
      </c>
      <c r="G1270" s="4" t="s">
        <v>12</v>
      </c>
      <c r="H1270" s="5">
        <v>58.25</v>
      </c>
      <c r="I1270" s="4"/>
      <c r="J1270" s="4">
        <f>SUMPRODUCT(--((A1270=$A$3:$A$2785)*$H$3:$H$2785&gt;H1270))+1</f>
        <v>191</v>
      </c>
    </row>
    <row r="1271" s="1" customFormat="true" customHeight="true" spans="1:10">
      <c r="A1271" s="4" t="str">
        <f t="shared" si="163"/>
        <v>021</v>
      </c>
      <c r="B1271" s="4" t="s">
        <v>33</v>
      </c>
      <c r="C1271" s="4" t="str">
        <f>"覃紫桃"</f>
        <v>覃紫桃</v>
      </c>
      <c r="D1271" s="4" t="str">
        <f>"2021010819"</f>
        <v>2021010819</v>
      </c>
      <c r="E1271" s="4" t="str">
        <f t="shared" si="166"/>
        <v>08</v>
      </c>
      <c r="F1271" s="4" t="str">
        <f>"19"</f>
        <v>19</v>
      </c>
      <c r="G1271" s="4" t="s">
        <v>12</v>
      </c>
      <c r="H1271" s="5">
        <v>58.2</v>
      </c>
      <c r="I1271" s="4"/>
      <c r="J1271" s="4">
        <f>SUMPRODUCT(--((A1271=$A$3:$A$2785)*$H$3:$H$2785&gt;H1271))+1</f>
        <v>192</v>
      </c>
    </row>
    <row r="1272" s="1" customFormat="true" customHeight="true" spans="1:10">
      <c r="A1272" s="4" t="str">
        <f t="shared" ref="A1272:A1335" si="167">"021"</f>
        <v>021</v>
      </c>
      <c r="B1272" s="4" t="s">
        <v>33</v>
      </c>
      <c r="C1272" s="4" t="str">
        <f>"任腊珍"</f>
        <v>任腊珍</v>
      </c>
      <c r="D1272" s="4" t="str">
        <f>"2021011105"</f>
        <v>2021011105</v>
      </c>
      <c r="E1272" s="4" t="str">
        <f>"11"</f>
        <v>11</v>
      </c>
      <c r="F1272" s="4" t="str">
        <f>"05"</f>
        <v>05</v>
      </c>
      <c r="G1272" s="4" t="s">
        <v>12</v>
      </c>
      <c r="H1272" s="5">
        <v>58.15</v>
      </c>
      <c r="I1272" s="4"/>
      <c r="J1272" s="4">
        <f>SUMPRODUCT(--((A1272=$A$3:$A$2785)*$H$3:$H$2785&gt;H1272))+1</f>
        <v>193</v>
      </c>
    </row>
    <row r="1273" s="1" customFormat="true" customHeight="true" spans="1:10">
      <c r="A1273" s="4" t="str">
        <f t="shared" si="167"/>
        <v>021</v>
      </c>
      <c r="B1273" s="4" t="s">
        <v>33</v>
      </c>
      <c r="C1273" s="4" t="str">
        <f>"包琴"</f>
        <v>包琴</v>
      </c>
      <c r="D1273" s="4" t="str">
        <f>"2021011807"</f>
        <v>2021011807</v>
      </c>
      <c r="E1273" s="4" t="str">
        <f>"18"</f>
        <v>18</v>
      </c>
      <c r="F1273" s="4" t="str">
        <f>"07"</f>
        <v>07</v>
      </c>
      <c r="G1273" s="4" t="s">
        <v>12</v>
      </c>
      <c r="H1273" s="5">
        <v>58.15</v>
      </c>
      <c r="I1273" s="4"/>
      <c r="J1273" s="4">
        <f>SUMPRODUCT(--((A1273=$A$3:$A$2785)*$H$3:$H$2785&gt;H1273))+1</f>
        <v>193</v>
      </c>
    </row>
    <row r="1274" s="1" customFormat="true" customHeight="true" spans="1:10">
      <c r="A1274" s="4" t="str">
        <f t="shared" si="167"/>
        <v>021</v>
      </c>
      <c r="B1274" s="4" t="s">
        <v>33</v>
      </c>
      <c r="C1274" s="4" t="str">
        <f>"杨梦迪"</f>
        <v>杨梦迪</v>
      </c>
      <c r="D1274" s="4" t="str">
        <f>"2021010715"</f>
        <v>2021010715</v>
      </c>
      <c r="E1274" s="4" t="str">
        <f>"07"</f>
        <v>07</v>
      </c>
      <c r="F1274" s="4" t="str">
        <f>"15"</f>
        <v>15</v>
      </c>
      <c r="G1274" s="4" t="s">
        <v>12</v>
      </c>
      <c r="H1274" s="5">
        <v>58</v>
      </c>
      <c r="I1274" s="4"/>
      <c r="J1274" s="4">
        <f>SUMPRODUCT(--((A1274=$A$3:$A$2785)*$H$3:$H$2785&gt;H1274))+1</f>
        <v>195</v>
      </c>
    </row>
    <row r="1275" s="1" customFormat="true" customHeight="true" spans="1:10">
      <c r="A1275" s="4" t="str">
        <f t="shared" si="167"/>
        <v>021</v>
      </c>
      <c r="B1275" s="4" t="s">
        <v>33</v>
      </c>
      <c r="C1275" s="4" t="str">
        <f>"陆玲玉"</f>
        <v>陆玲玉</v>
      </c>
      <c r="D1275" s="4" t="str">
        <f>"2021011622"</f>
        <v>2021011622</v>
      </c>
      <c r="E1275" s="4" t="str">
        <f>"16"</f>
        <v>16</v>
      </c>
      <c r="F1275" s="4" t="str">
        <f>"22"</f>
        <v>22</v>
      </c>
      <c r="G1275" s="4" t="s">
        <v>12</v>
      </c>
      <c r="H1275" s="5">
        <v>57.95</v>
      </c>
      <c r="I1275" s="4"/>
      <c r="J1275" s="4">
        <f>SUMPRODUCT(--((A1275=$A$3:$A$2785)*$H$3:$H$2785&gt;H1275))+1</f>
        <v>196</v>
      </c>
    </row>
    <row r="1276" s="1" customFormat="true" customHeight="true" spans="1:10">
      <c r="A1276" s="4" t="str">
        <f t="shared" si="167"/>
        <v>021</v>
      </c>
      <c r="B1276" s="4" t="s">
        <v>33</v>
      </c>
      <c r="C1276" s="4" t="str">
        <f>"杨若婷"</f>
        <v>杨若婷</v>
      </c>
      <c r="D1276" s="4" t="str">
        <f>"2021011203"</f>
        <v>2021011203</v>
      </c>
      <c r="E1276" s="4" t="str">
        <f>"12"</f>
        <v>12</v>
      </c>
      <c r="F1276" s="4" t="str">
        <f t="shared" ref="F1276:F1279" si="168">"03"</f>
        <v>03</v>
      </c>
      <c r="G1276" s="4" t="s">
        <v>12</v>
      </c>
      <c r="H1276" s="5">
        <v>57.9</v>
      </c>
      <c r="I1276" s="4"/>
      <c r="J1276" s="4">
        <f>SUMPRODUCT(--((A1276=$A$3:$A$2785)*$H$3:$H$2785&gt;H1276))+1</f>
        <v>197</v>
      </c>
    </row>
    <row r="1277" s="1" customFormat="true" ht="27" customHeight="true" spans="1:10">
      <c r="A1277" s="4" t="str">
        <f t="shared" si="167"/>
        <v>021</v>
      </c>
      <c r="B1277" s="4" t="s">
        <v>33</v>
      </c>
      <c r="C1277" s="4" t="str">
        <f>"石华琴"</f>
        <v>石华琴</v>
      </c>
      <c r="D1277" s="4" t="str">
        <f>"2021011128"</f>
        <v>2021011128</v>
      </c>
      <c r="E1277" s="4" t="str">
        <f>"11"</f>
        <v>11</v>
      </c>
      <c r="F1277" s="4" t="str">
        <f>"28"</f>
        <v>28</v>
      </c>
      <c r="G1277" s="4" t="s">
        <v>12</v>
      </c>
      <c r="H1277" s="5">
        <v>57.75</v>
      </c>
      <c r="I1277" s="7"/>
      <c r="J1277" s="4">
        <f>SUMPRODUCT(--((A1277=$A$3:$A$2785)*$H$3:$H$2785&gt;H1277))+1</f>
        <v>198</v>
      </c>
    </row>
    <row r="1278" s="1" customFormat="true" customHeight="true" spans="1:10">
      <c r="A1278" s="4" t="str">
        <f t="shared" si="167"/>
        <v>021</v>
      </c>
      <c r="B1278" s="4" t="s">
        <v>33</v>
      </c>
      <c r="C1278" s="4" t="str">
        <f>"曾惠云"</f>
        <v>曾惠云</v>
      </c>
      <c r="D1278" s="4" t="str">
        <f>"2021012203"</f>
        <v>2021012203</v>
      </c>
      <c r="E1278" s="4" t="str">
        <f>"22"</f>
        <v>22</v>
      </c>
      <c r="F1278" s="4" t="str">
        <f t="shared" si="168"/>
        <v>03</v>
      </c>
      <c r="G1278" s="4" t="s">
        <v>12</v>
      </c>
      <c r="H1278" s="5">
        <v>57.6</v>
      </c>
      <c r="I1278" s="4"/>
      <c r="J1278" s="4">
        <f>SUMPRODUCT(--((A1278=$A$3:$A$2785)*$H$3:$H$2785&gt;H1278))+1</f>
        <v>199</v>
      </c>
    </row>
    <row r="1279" s="1" customFormat="true" customHeight="true" spans="1:10">
      <c r="A1279" s="4" t="str">
        <f t="shared" si="167"/>
        <v>021</v>
      </c>
      <c r="B1279" s="4" t="s">
        <v>33</v>
      </c>
      <c r="C1279" s="4" t="str">
        <f>"黄文丁"</f>
        <v>黄文丁</v>
      </c>
      <c r="D1279" s="4" t="str">
        <f>"2021012003"</f>
        <v>2021012003</v>
      </c>
      <c r="E1279" s="4" t="str">
        <f>"20"</f>
        <v>20</v>
      </c>
      <c r="F1279" s="4" t="str">
        <f t="shared" si="168"/>
        <v>03</v>
      </c>
      <c r="G1279" s="4" t="s">
        <v>12</v>
      </c>
      <c r="H1279" s="5">
        <v>57.55</v>
      </c>
      <c r="I1279" s="4"/>
      <c r="J1279" s="4">
        <f>SUMPRODUCT(--((A1279=$A$3:$A$2785)*$H$3:$H$2785&gt;H1279))+1</f>
        <v>200</v>
      </c>
    </row>
    <row r="1280" s="1" customFormat="true" customHeight="true" spans="1:10">
      <c r="A1280" s="4" t="str">
        <f t="shared" si="167"/>
        <v>021</v>
      </c>
      <c r="B1280" s="4" t="s">
        <v>33</v>
      </c>
      <c r="C1280" s="4" t="str">
        <f>"段锦雯"</f>
        <v>段锦雯</v>
      </c>
      <c r="D1280" s="4" t="str">
        <f>"2021010606"</f>
        <v>2021010606</v>
      </c>
      <c r="E1280" s="4" t="str">
        <f>"06"</f>
        <v>06</v>
      </c>
      <c r="F1280" s="4" t="str">
        <f>"06"</f>
        <v>06</v>
      </c>
      <c r="G1280" s="4" t="s">
        <v>12</v>
      </c>
      <c r="H1280" s="5">
        <v>57.5</v>
      </c>
      <c r="I1280" s="4"/>
      <c r="J1280" s="4">
        <f>SUMPRODUCT(--((A1280=$A$3:$A$2785)*$H$3:$H$2785&gt;H1280))+1</f>
        <v>201</v>
      </c>
    </row>
    <row r="1281" s="1" customFormat="true" customHeight="true" spans="1:10">
      <c r="A1281" s="4" t="str">
        <f t="shared" si="167"/>
        <v>021</v>
      </c>
      <c r="B1281" s="4" t="s">
        <v>33</v>
      </c>
      <c r="C1281" s="4" t="str">
        <f>"唐玉"</f>
        <v>唐玉</v>
      </c>
      <c r="D1281" s="4" t="str">
        <f>"2021012120"</f>
        <v>2021012120</v>
      </c>
      <c r="E1281" s="4" t="str">
        <f>"21"</f>
        <v>21</v>
      </c>
      <c r="F1281" s="4" t="str">
        <f>"20"</f>
        <v>20</v>
      </c>
      <c r="G1281" s="4" t="s">
        <v>12</v>
      </c>
      <c r="H1281" s="5">
        <v>57.5</v>
      </c>
      <c r="I1281" s="4"/>
      <c r="J1281" s="4">
        <f>SUMPRODUCT(--((A1281=$A$3:$A$2785)*$H$3:$H$2785&gt;H1281))+1</f>
        <v>201</v>
      </c>
    </row>
    <row r="1282" s="1" customFormat="true" customHeight="true" spans="1:10">
      <c r="A1282" s="4" t="str">
        <f t="shared" si="167"/>
        <v>021</v>
      </c>
      <c r="B1282" s="4" t="s">
        <v>33</v>
      </c>
      <c r="C1282" s="4" t="str">
        <f>"张蕙兰"</f>
        <v>张蕙兰</v>
      </c>
      <c r="D1282" s="4" t="str">
        <f>"2021010619"</f>
        <v>2021010619</v>
      </c>
      <c r="E1282" s="4" t="str">
        <f>"06"</f>
        <v>06</v>
      </c>
      <c r="F1282" s="4" t="str">
        <f>"19"</f>
        <v>19</v>
      </c>
      <c r="G1282" s="4" t="s">
        <v>12</v>
      </c>
      <c r="H1282" s="5">
        <v>57.4</v>
      </c>
      <c r="I1282" s="4"/>
      <c r="J1282" s="4">
        <f>SUMPRODUCT(--((A1282=$A$3:$A$2785)*$H$3:$H$2785&gt;H1282))+1</f>
        <v>203</v>
      </c>
    </row>
    <row r="1283" s="1" customFormat="true" customHeight="true" spans="1:10">
      <c r="A1283" s="4" t="str">
        <f t="shared" si="167"/>
        <v>021</v>
      </c>
      <c r="B1283" s="4" t="s">
        <v>33</v>
      </c>
      <c r="C1283" s="4" t="str">
        <f>"谷小娟"</f>
        <v>谷小娟</v>
      </c>
      <c r="D1283" s="4" t="str">
        <f>"2021011619"</f>
        <v>2021011619</v>
      </c>
      <c r="E1283" s="4" t="str">
        <f>"16"</f>
        <v>16</v>
      </c>
      <c r="F1283" s="4" t="str">
        <f>"19"</f>
        <v>19</v>
      </c>
      <c r="G1283" s="4" t="s">
        <v>12</v>
      </c>
      <c r="H1283" s="5">
        <v>57.4</v>
      </c>
      <c r="I1283" s="4"/>
      <c r="J1283" s="4">
        <f>SUMPRODUCT(--((A1283=$A$3:$A$2785)*$H$3:$H$2785&gt;H1283))+1</f>
        <v>203</v>
      </c>
    </row>
    <row r="1284" s="1" customFormat="true" customHeight="true" spans="1:10">
      <c r="A1284" s="4" t="str">
        <f t="shared" si="167"/>
        <v>021</v>
      </c>
      <c r="B1284" s="4" t="s">
        <v>33</v>
      </c>
      <c r="C1284" s="4" t="str">
        <f>"杨蕓菲"</f>
        <v>杨蕓菲</v>
      </c>
      <c r="D1284" s="4" t="str">
        <f>"2021011908"</f>
        <v>2021011908</v>
      </c>
      <c r="E1284" s="4" t="str">
        <f>"19"</f>
        <v>19</v>
      </c>
      <c r="F1284" s="4" t="str">
        <f>"08"</f>
        <v>08</v>
      </c>
      <c r="G1284" s="4" t="s">
        <v>12</v>
      </c>
      <c r="H1284" s="5">
        <v>57.35</v>
      </c>
      <c r="I1284" s="4"/>
      <c r="J1284" s="4">
        <f>SUMPRODUCT(--((A1284=$A$3:$A$2785)*$H$3:$H$2785&gt;H1284))+1</f>
        <v>205</v>
      </c>
    </row>
    <row r="1285" s="1" customFormat="true" customHeight="true" spans="1:10">
      <c r="A1285" s="4" t="str">
        <f t="shared" si="167"/>
        <v>021</v>
      </c>
      <c r="B1285" s="4" t="s">
        <v>33</v>
      </c>
      <c r="C1285" s="4" t="str">
        <f>"李秋硕"</f>
        <v>李秋硕</v>
      </c>
      <c r="D1285" s="4" t="str">
        <f>"2021011621"</f>
        <v>2021011621</v>
      </c>
      <c r="E1285" s="4" t="str">
        <f>"16"</f>
        <v>16</v>
      </c>
      <c r="F1285" s="4" t="str">
        <f>"21"</f>
        <v>21</v>
      </c>
      <c r="G1285" s="4" t="s">
        <v>12</v>
      </c>
      <c r="H1285" s="5">
        <v>57.3</v>
      </c>
      <c r="I1285" s="4"/>
      <c r="J1285" s="4">
        <f>SUMPRODUCT(--((A1285=$A$3:$A$2785)*$H$3:$H$2785&gt;H1285))+1</f>
        <v>206</v>
      </c>
    </row>
    <row r="1286" s="1" customFormat="true" customHeight="true" spans="1:10">
      <c r="A1286" s="4" t="str">
        <f t="shared" si="167"/>
        <v>021</v>
      </c>
      <c r="B1286" s="4" t="s">
        <v>33</v>
      </c>
      <c r="C1286" s="4" t="str">
        <f>"舒清波"</f>
        <v>舒清波</v>
      </c>
      <c r="D1286" s="4" t="str">
        <f>"2021011712"</f>
        <v>2021011712</v>
      </c>
      <c r="E1286" s="4" t="str">
        <f>"17"</f>
        <v>17</v>
      </c>
      <c r="F1286" s="4" t="str">
        <f>"12"</f>
        <v>12</v>
      </c>
      <c r="G1286" s="4" t="s">
        <v>12</v>
      </c>
      <c r="H1286" s="5">
        <v>57.15</v>
      </c>
      <c r="I1286" s="4"/>
      <c r="J1286" s="4">
        <f>SUMPRODUCT(--((A1286=$A$3:$A$2785)*$H$3:$H$2785&gt;H1286))+1</f>
        <v>207</v>
      </c>
    </row>
    <row r="1287" s="1" customFormat="true" customHeight="true" spans="1:10">
      <c r="A1287" s="4" t="str">
        <f t="shared" si="167"/>
        <v>021</v>
      </c>
      <c r="B1287" s="4" t="s">
        <v>33</v>
      </c>
      <c r="C1287" s="4" t="str">
        <f>"欧阳文慧"</f>
        <v>欧阳文慧</v>
      </c>
      <c r="D1287" s="4" t="str">
        <f>"2021011911"</f>
        <v>2021011911</v>
      </c>
      <c r="E1287" s="4" t="str">
        <f>"19"</f>
        <v>19</v>
      </c>
      <c r="F1287" s="4" t="str">
        <f>"11"</f>
        <v>11</v>
      </c>
      <c r="G1287" s="4" t="s">
        <v>12</v>
      </c>
      <c r="H1287" s="5">
        <v>57.1</v>
      </c>
      <c r="I1287" s="4"/>
      <c r="J1287" s="4">
        <f>SUMPRODUCT(--((A1287=$A$3:$A$2785)*$H$3:$H$2785&gt;H1287))+1</f>
        <v>208</v>
      </c>
    </row>
    <row r="1288" s="1" customFormat="true" customHeight="true" spans="1:10">
      <c r="A1288" s="4" t="str">
        <f t="shared" si="167"/>
        <v>021</v>
      </c>
      <c r="B1288" s="4" t="s">
        <v>33</v>
      </c>
      <c r="C1288" s="4" t="str">
        <f>"刘兰"</f>
        <v>刘兰</v>
      </c>
      <c r="D1288" s="4" t="str">
        <f>"2021012206"</f>
        <v>2021012206</v>
      </c>
      <c r="E1288" s="4" t="str">
        <f>"22"</f>
        <v>22</v>
      </c>
      <c r="F1288" s="4" t="str">
        <f>"06"</f>
        <v>06</v>
      </c>
      <c r="G1288" s="4" t="s">
        <v>12</v>
      </c>
      <c r="H1288" s="5">
        <v>57.1</v>
      </c>
      <c r="I1288" s="4"/>
      <c r="J1288" s="4">
        <f>SUMPRODUCT(--((A1288=$A$3:$A$2785)*$H$3:$H$2785&gt;H1288))+1</f>
        <v>208</v>
      </c>
    </row>
    <row r="1289" s="1" customFormat="true" customHeight="true" spans="1:10">
      <c r="A1289" s="4" t="str">
        <f t="shared" si="167"/>
        <v>021</v>
      </c>
      <c r="B1289" s="4" t="s">
        <v>33</v>
      </c>
      <c r="C1289" s="4" t="str">
        <f>"田莹"</f>
        <v>田莹</v>
      </c>
      <c r="D1289" s="4" t="str">
        <f>"2021011717"</f>
        <v>2021011717</v>
      </c>
      <c r="E1289" s="4" t="str">
        <f>"17"</f>
        <v>17</v>
      </c>
      <c r="F1289" s="4" t="str">
        <f>"17"</f>
        <v>17</v>
      </c>
      <c r="G1289" s="4" t="s">
        <v>12</v>
      </c>
      <c r="H1289" s="5">
        <v>56.95</v>
      </c>
      <c r="I1289" s="4"/>
      <c r="J1289" s="4">
        <f>SUMPRODUCT(--((A1289=$A$3:$A$2785)*$H$3:$H$2785&gt;H1289))+1</f>
        <v>210</v>
      </c>
    </row>
    <row r="1290" s="1" customFormat="true" customHeight="true" spans="1:10">
      <c r="A1290" s="4" t="str">
        <f t="shared" si="167"/>
        <v>021</v>
      </c>
      <c r="B1290" s="4" t="s">
        <v>33</v>
      </c>
      <c r="C1290" s="4" t="str">
        <f>"梁湘莲"</f>
        <v>梁湘莲</v>
      </c>
      <c r="D1290" s="4" t="str">
        <f>"2021010807"</f>
        <v>2021010807</v>
      </c>
      <c r="E1290" s="4" t="str">
        <f>"08"</f>
        <v>08</v>
      </c>
      <c r="F1290" s="4" t="str">
        <f>"07"</f>
        <v>07</v>
      </c>
      <c r="G1290" s="4" t="s">
        <v>12</v>
      </c>
      <c r="H1290" s="5">
        <v>56.9</v>
      </c>
      <c r="I1290" s="4"/>
      <c r="J1290" s="4">
        <f>SUMPRODUCT(--((A1290=$A$3:$A$2785)*$H$3:$H$2785&gt;H1290))+1</f>
        <v>211</v>
      </c>
    </row>
    <row r="1291" s="1" customFormat="true" customHeight="true" spans="1:10">
      <c r="A1291" s="4" t="str">
        <f t="shared" si="167"/>
        <v>021</v>
      </c>
      <c r="B1291" s="4" t="s">
        <v>33</v>
      </c>
      <c r="C1291" s="4" t="str">
        <f>"刘飞飞"</f>
        <v>刘飞飞</v>
      </c>
      <c r="D1291" s="4" t="str">
        <f>"2021011326"</f>
        <v>2021011326</v>
      </c>
      <c r="E1291" s="4" t="str">
        <f>"13"</f>
        <v>13</v>
      </c>
      <c r="F1291" s="4" t="str">
        <f>"26"</f>
        <v>26</v>
      </c>
      <c r="G1291" s="4" t="s">
        <v>12</v>
      </c>
      <c r="H1291" s="5">
        <v>56.85</v>
      </c>
      <c r="I1291" s="4"/>
      <c r="J1291" s="4">
        <f>SUMPRODUCT(--((A1291=$A$3:$A$2785)*$H$3:$H$2785&gt;H1291))+1</f>
        <v>212</v>
      </c>
    </row>
    <row r="1292" s="1" customFormat="true" customHeight="true" spans="1:10">
      <c r="A1292" s="4" t="str">
        <f t="shared" si="167"/>
        <v>021</v>
      </c>
      <c r="B1292" s="4" t="s">
        <v>33</v>
      </c>
      <c r="C1292" s="4" t="str">
        <f>"钟珊珊"</f>
        <v>钟珊珊</v>
      </c>
      <c r="D1292" s="4" t="str">
        <f>"2021010925"</f>
        <v>2021010925</v>
      </c>
      <c r="E1292" s="4" t="str">
        <f>"09"</f>
        <v>09</v>
      </c>
      <c r="F1292" s="4" t="str">
        <f>"25"</f>
        <v>25</v>
      </c>
      <c r="G1292" s="4" t="s">
        <v>12</v>
      </c>
      <c r="H1292" s="5">
        <v>56.75</v>
      </c>
      <c r="I1292" s="4"/>
      <c r="J1292" s="4">
        <f>SUMPRODUCT(--((A1292=$A$3:$A$2785)*$H$3:$H$2785&gt;H1292))+1</f>
        <v>213</v>
      </c>
    </row>
    <row r="1293" s="1" customFormat="true" customHeight="true" spans="1:10">
      <c r="A1293" s="4" t="str">
        <f t="shared" si="167"/>
        <v>021</v>
      </c>
      <c r="B1293" s="4" t="s">
        <v>33</v>
      </c>
      <c r="C1293" s="4" t="str">
        <f>"韩柳柔"</f>
        <v>韩柳柔</v>
      </c>
      <c r="D1293" s="4" t="str">
        <f>"2021011909"</f>
        <v>2021011909</v>
      </c>
      <c r="E1293" s="4" t="str">
        <f>"19"</f>
        <v>19</v>
      </c>
      <c r="F1293" s="4" t="str">
        <f>"09"</f>
        <v>09</v>
      </c>
      <c r="G1293" s="4" t="s">
        <v>12</v>
      </c>
      <c r="H1293" s="5">
        <v>56.65</v>
      </c>
      <c r="I1293" s="4"/>
      <c r="J1293" s="4">
        <f>SUMPRODUCT(--((A1293=$A$3:$A$2785)*$H$3:$H$2785&gt;H1293))+1</f>
        <v>214</v>
      </c>
    </row>
    <row r="1294" s="1" customFormat="true" customHeight="true" spans="1:10">
      <c r="A1294" s="4" t="str">
        <f t="shared" si="167"/>
        <v>021</v>
      </c>
      <c r="B1294" s="4" t="s">
        <v>33</v>
      </c>
      <c r="C1294" s="4" t="str">
        <f>"吴眉彬"</f>
        <v>吴眉彬</v>
      </c>
      <c r="D1294" s="4" t="str">
        <f>"2021011418"</f>
        <v>2021011418</v>
      </c>
      <c r="E1294" s="4" t="str">
        <f>"14"</f>
        <v>14</v>
      </c>
      <c r="F1294" s="4" t="str">
        <f>"18"</f>
        <v>18</v>
      </c>
      <c r="G1294" s="4" t="s">
        <v>12</v>
      </c>
      <c r="H1294" s="5">
        <v>56.35</v>
      </c>
      <c r="I1294" s="4"/>
      <c r="J1294" s="4">
        <f>SUMPRODUCT(--((A1294=$A$3:$A$2785)*$H$3:$H$2785&gt;H1294))+1</f>
        <v>215</v>
      </c>
    </row>
    <row r="1295" s="1" customFormat="true" customHeight="true" spans="1:10">
      <c r="A1295" s="4" t="str">
        <f t="shared" si="167"/>
        <v>021</v>
      </c>
      <c r="B1295" s="4" t="s">
        <v>33</v>
      </c>
      <c r="C1295" s="4" t="str">
        <f>"蒋珍珍"</f>
        <v>蒋珍珍</v>
      </c>
      <c r="D1295" s="4" t="str">
        <f>"2021011107"</f>
        <v>2021011107</v>
      </c>
      <c r="E1295" s="4" t="str">
        <f>"11"</f>
        <v>11</v>
      </c>
      <c r="F1295" s="4" t="str">
        <f>"07"</f>
        <v>07</v>
      </c>
      <c r="G1295" s="4" t="s">
        <v>12</v>
      </c>
      <c r="H1295" s="5">
        <v>56.3</v>
      </c>
      <c r="I1295" s="4"/>
      <c r="J1295" s="4">
        <f>SUMPRODUCT(--((A1295=$A$3:$A$2785)*$H$3:$H$2785&gt;H1295))+1</f>
        <v>216</v>
      </c>
    </row>
    <row r="1296" s="1" customFormat="true" customHeight="true" spans="1:10">
      <c r="A1296" s="4" t="str">
        <f t="shared" si="167"/>
        <v>021</v>
      </c>
      <c r="B1296" s="4" t="s">
        <v>33</v>
      </c>
      <c r="C1296" s="4" t="str">
        <f>"黄亚琳"</f>
        <v>黄亚琳</v>
      </c>
      <c r="D1296" s="4" t="str">
        <f>"2021011529"</f>
        <v>2021011529</v>
      </c>
      <c r="E1296" s="4" t="str">
        <f>"15"</f>
        <v>15</v>
      </c>
      <c r="F1296" s="4" t="str">
        <f>"29"</f>
        <v>29</v>
      </c>
      <c r="G1296" s="4" t="s">
        <v>12</v>
      </c>
      <c r="H1296" s="5">
        <v>56.2</v>
      </c>
      <c r="I1296" s="4"/>
      <c r="J1296" s="4">
        <f>SUMPRODUCT(--((A1296=$A$3:$A$2785)*$H$3:$H$2785&gt;H1296))+1</f>
        <v>217</v>
      </c>
    </row>
    <row r="1297" s="1" customFormat="true" customHeight="true" spans="1:10">
      <c r="A1297" s="4" t="str">
        <f t="shared" si="167"/>
        <v>021</v>
      </c>
      <c r="B1297" s="4" t="s">
        <v>33</v>
      </c>
      <c r="C1297" s="4" t="str">
        <f>"罗珍莲"</f>
        <v>罗珍莲</v>
      </c>
      <c r="D1297" s="4" t="str">
        <f>"2021010624"</f>
        <v>2021010624</v>
      </c>
      <c r="E1297" s="4" t="str">
        <f>"06"</f>
        <v>06</v>
      </c>
      <c r="F1297" s="4" t="str">
        <f>"24"</f>
        <v>24</v>
      </c>
      <c r="G1297" s="4" t="s">
        <v>12</v>
      </c>
      <c r="H1297" s="5">
        <v>56.1</v>
      </c>
      <c r="I1297" s="4"/>
      <c r="J1297" s="4">
        <f>SUMPRODUCT(--((A1297=$A$3:$A$2785)*$H$3:$H$2785&gt;H1297))+1</f>
        <v>218</v>
      </c>
    </row>
    <row r="1298" s="1" customFormat="true" customHeight="true" spans="1:10">
      <c r="A1298" s="4" t="str">
        <f t="shared" si="167"/>
        <v>021</v>
      </c>
      <c r="B1298" s="4" t="s">
        <v>33</v>
      </c>
      <c r="C1298" s="4" t="str">
        <f>"张淼清"</f>
        <v>张淼清</v>
      </c>
      <c r="D1298" s="4" t="str">
        <f>"2021011430"</f>
        <v>2021011430</v>
      </c>
      <c r="E1298" s="4" t="str">
        <f>"14"</f>
        <v>14</v>
      </c>
      <c r="F1298" s="4" t="str">
        <f>"30"</f>
        <v>30</v>
      </c>
      <c r="G1298" s="4" t="s">
        <v>12</v>
      </c>
      <c r="H1298" s="5">
        <v>56</v>
      </c>
      <c r="I1298" s="4"/>
      <c r="J1298" s="4">
        <f>SUMPRODUCT(--((A1298=$A$3:$A$2785)*$H$3:$H$2785&gt;H1298))+1</f>
        <v>219</v>
      </c>
    </row>
    <row r="1299" s="1" customFormat="true" customHeight="true" spans="1:10">
      <c r="A1299" s="4" t="str">
        <f t="shared" si="167"/>
        <v>021</v>
      </c>
      <c r="B1299" s="4" t="s">
        <v>33</v>
      </c>
      <c r="C1299" s="4" t="str">
        <f>"杨芷航"</f>
        <v>杨芷航</v>
      </c>
      <c r="D1299" s="4" t="str">
        <f>"2021011928"</f>
        <v>2021011928</v>
      </c>
      <c r="E1299" s="4" t="str">
        <f>"19"</f>
        <v>19</v>
      </c>
      <c r="F1299" s="4" t="str">
        <f>"28"</f>
        <v>28</v>
      </c>
      <c r="G1299" s="4" t="s">
        <v>12</v>
      </c>
      <c r="H1299" s="5">
        <v>55.8</v>
      </c>
      <c r="I1299" s="4"/>
      <c r="J1299" s="4">
        <f>SUMPRODUCT(--((A1299=$A$3:$A$2785)*$H$3:$H$2785&gt;H1299))+1</f>
        <v>220</v>
      </c>
    </row>
    <row r="1300" s="1" customFormat="true" customHeight="true" spans="1:10">
      <c r="A1300" s="4" t="str">
        <f t="shared" si="167"/>
        <v>021</v>
      </c>
      <c r="B1300" s="4" t="s">
        <v>33</v>
      </c>
      <c r="C1300" s="4" t="str">
        <f>"丁元娣"</f>
        <v>丁元娣</v>
      </c>
      <c r="D1300" s="4" t="str">
        <f>"2021012025"</f>
        <v>2021012025</v>
      </c>
      <c r="E1300" s="4" t="str">
        <f>"20"</f>
        <v>20</v>
      </c>
      <c r="F1300" s="4" t="str">
        <f>"25"</f>
        <v>25</v>
      </c>
      <c r="G1300" s="4" t="s">
        <v>12</v>
      </c>
      <c r="H1300" s="5">
        <v>55.65</v>
      </c>
      <c r="I1300" s="4"/>
      <c r="J1300" s="4">
        <f>SUMPRODUCT(--((A1300=$A$3:$A$2785)*$H$3:$H$2785&gt;H1300))+1</f>
        <v>221</v>
      </c>
    </row>
    <row r="1301" s="1" customFormat="true" customHeight="true" spans="1:10">
      <c r="A1301" s="4" t="str">
        <f t="shared" si="167"/>
        <v>021</v>
      </c>
      <c r="B1301" s="4" t="s">
        <v>33</v>
      </c>
      <c r="C1301" s="4" t="str">
        <f>"谭月婷"</f>
        <v>谭月婷</v>
      </c>
      <c r="D1301" s="4" t="str">
        <f>"2021011015"</f>
        <v>2021011015</v>
      </c>
      <c r="E1301" s="4" t="str">
        <f>"10"</f>
        <v>10</v>
      </c>
      <c r="F1301" s="4" t="str">
        <f>"15"</f>
        <v>15</v>
      </c>
      <c r="G1301" s="4" t="s">
        <v>12</v>
      </c>
      <c r="H1301" s="5">
        <v>55.5</v>
      </c>
      <c r="I1301" s="4"/>
      <c r="J1301" s="4">
        <f>SUMPRODUCT(--((A1301=$A$3:$A$2785)*$H$3:$H$2785&gt;H1301))+1</f>
        <v>222</v>
      </c>
    </row>
    <row r="1302" s="1" customFormat="true" customHeight="true" spans="1:10">
      <c r="A1302" s="4" t="str">
        <f t="shared" si="167"/>
        <v>021</v>
      </c>
      <c r="B1302" s="4" t="s">
        <v>33</v>
      </c>
      <c r="C1302" s="4" t="str">
        <f>"曾燚雪"</f>
        <v>曾燚雪</v>
      </c>
      <c r="D1302" s="4" t="str">
        <f>"2021011001"</f>
        <v>2021011001</v>
      </c>
      <c r="E1302" s="4" t="str">
        <f>"10"</f>
        <v>10</v>
      </c>
      <c r="F1302" s="4" t="str">
        <f>"01"</f>
        <v>01</v>
      </c>
      <c r="G1302" s="4" t="s">
        <v>12</v>
      </c>
      <c r="H1302" s="5">
        <v>55.35</v>
      </c>
      <c r="I1302" s="4"/>
      <c r="J1302" s="4">
        <f>SUMPRODUCT(--((A1302=$A$3:$A$2785)*$H$3:$H$2785&gt;H1302))+1</f>
        <v>223</v>
      </c>
    </row>
    <row r="1303" s="1" customFormat="true" customHeight="true" spans="1:10">
      <c r="A1303" s="4" t="str">
        <f t="shared" si="167"/>
        <v>021</v>
      </c>
      <c r="B1303" s="4" t="s">
        <v>33</v>
      </c>
      <c r="C1303" s="4" t="str">
        <f>"方颖"</f>
        <v>方颖</v>
      </c>
      <c r="D1303" s="4" t="str">
        <f>"2021010810"</f>
        <v>2021010810</v>
      </c>
      <c r="E1303" s="4" t="str">
        <f>"08"</f>
        <v>08</v>
      </c>
      <c r="F1303" s="4" t="str">
        <f>"10"</f>
        <v>10</v>
      </c>
      <c r="G1303" s="4" t="s">
        <v>12</v>
      </c>
      <c r="H1303" s="5">
        <v>55.25</v>
      </c>
      <c r="I1303" s="4"/>
      <c r="J1303" s="4">
        <f>SUMPRODUCT(--((A1303=$A$3:$A$2785)*$H$3:$H$2785&gt;H1303))+1</f>
        <v>224</v>
      </c>
    </row>
    <row r="1304" s="1" customFormat="true" customHeight="true" spans="1:10">
      <c r="A1304" s="4" t="str">
        <f t="shared" si="167"/>
        <v>021</v>
      </c>
      <c r="B1304" s="4" t="s">
        <v>33</v>
      </c>
      <c r="C1304" s="4" t="str">
        <f>"刘美君"</f>
        <v>刘美君</v>
      </c>
      <c r="D1304" s="4" t="str">
        <f>"2021010920"</f>
        <v>2021010920</v>
      </c>
      <c r="E1304" s="4" t="str">
        <f>"09"</f>
        <v>09</v>
      </c>
      <c r="F1304" s="4" t="str">
        <f>"20"</f>
        <v>20</v>
      </c>
      <c r="G1304" s="4" t="s">
        <v>12</v>
      </c>
      <c r="H1304" s="5">
        <v>55.15</v>
      </c>
      <c r="I1304" s="4"/>
      <c r="J1304" s="4">
        <f>SUMPRODUCT(--((A1304=$A$3:$A$2785)*$H$3:$H$2785&gt;H1304))+1</f>
        <v>225</v>
      </c>
    </row>
    <row r="1305" s="1" customFormat="true" customHeight="true" spans="1:10">
      <c r="A1305" s="4" t="str">
        <f t="shared" si="167"/>
        <v>021</v>
      </c>
      <c r="B1305" s="4" t="s">
        <v>33</v>
      </c>
      <c r="C1305" s="4" t="str">
        <f>"刘艳"</f>
        <v>刘艳</v>
      </c>
      <c r="D1305" s="4" t="str">
        <f>"2021012117"</f>
        <v>2021012117</v>
      </c>
      <c r="E1305" s="4" t="str">
        <f>"21"</f>
        <v>21</v>
      </c>
      <c r="F1305" s="4" t="str">
        <f>"17"</f>
        <v>17</v>
      </c>
      <c r="G1305" s="4" t="s">
        <v>12</v>
      </c>
      <c r="H1305" s="5">
        <v>55.15</v>
      </c>
      <c r="I1305" s="4"/>
      <c r="J1305" s="4">
        <f>SUMPRODUCT(--((A1305=$A$3:$A$2785)*$H$3:$H$2785&gt;H1305))+1</f>
        <v>225</v>
      </c>
    </row>
    <row r="1306" s="1" customFormat="true" customHeight="true" spans="1:10">
      <c r="A1306" s="4" t="str">
        <f t="shared" si="167"/>
        <v>021</v>
      </c>
      <c r="B1306" s="4" t="s">
        <v>33</v>
      </c>
      <c r="C1306" s="4" t="str">
        <f>"段丹丹"</f>
        <v>段丹丹</v>
      </c>
      <c r="D1306" s="4" t="str">
        <f>"2021010918"</f>
        <v>2021010918</v>
      </c>
      <c r="E1306" s="4" t="str">
        <f>"09"</f>
        <v>09</v>
      </c>
      <c r="F1306" s="4" t="str">
        <f>"18"</f>
        <v>18</v>
      </c>
      <c r="G1306" s="4" t="s">
        <v>12</v>
      </c>
      <c r="H1306" s="5">
        <v>55.1</v>
      </c>
      <c r="I1306" s="4"/>
      <c r="J1306" s="4">
        <f>SUMPRODUCT(--((A1306=$A$3:$A$2785)*$H$3:$H$2785&gt;H1306))+1</f>
        <v>227</v>
      </c>
    </row>
    <row r="1307" s="1" customFormat="true" customHeight="true" spans="1:10">
      <c r="A1307" s="4" t="str">
        <f t="shared" si="167"/>
        <v>021</v>
      </c>
      <c r="B1307" s="4" t="s">
        <v>33</v>
      </c>
      <c r="C1307" s="4" t="str">
        <f>"林亚青"</f>
        <v>林亚青</v>
      </c>
      <c r="D1307" s="4" t="str">
        <f>"2021012221"</f>
        <v>2021012221</v>
      </c>
      <c r="E1307" s="4" t="str">
        <f>"22"</f>
        <v>22</v>
      </c>
      <c r="F1307" s="4" t="str">
        <f>"21"</f>
        <v>21</v>
      </c>
      <c r="G1307" s="4" t="s">
        <v>12</v>
      </c>
      <c r="H1307" s="5">
        <v>55.1</v>
      </c>
      <c r="I1307" s="4"/>
      <c r="J1307" s="4">
        <f>SUMPRODUCT(--((A1307=$A$3:$A$2785)*$H$3:$H$2785&gt;H1307))+1</f>
        <v>227</v>
      </c>
    </row>
    <row r="1308" s="1" customFormat="true" customHeight="true" spans="1:10">
      <c r="A1308" s="4" t="str">
        <f t="shared" si="167"/>
        <v>021</v>
      </c>
      <c r="B1308" s="4" t="s">
        <v>33</v>
      </c>
      <c r="C1308" s="4" t="str">
        <f>"夏慧娴"</f>
        <v>夏慧娴</v>
      </c>
      <c r="D1308" s="4" t="str">
        <f>"2021011724"</f>
        <v>2021011724</v>
      </c>
      <c r="E1308" s="4" t="str">
        <f>"17"</f>
        <v>17</v>
      </c>
      <c r="F1308" s="4" t="str">
        <f>"24"</f>
        <v>24</v>
      </c>
      <c r="G1308" s="4" t="s">
        <v>12</v>
      </c>
      <c r="H1308" s="5">
        <v>55</v>
      </c>
      <c r="I1308" s="4"/>
      <c r="J1308" s="4">
        <f>SUMPRODUCT(--((A1308=$A$3:$A$2785)*$H$3:$H$2785&gt;H1308))+1</f>
        <v>229</v>
      </c>
    </row>
    <row r="1309" s="1" customFormat="true" customHeight="true" spans="1:10">
      <c r="A1309" s="4" t="str">
        <f t="shared" si="167"/>
        <v>021</v>
      </c>
      <c r="B1309" s="4" t="s">
        <v>33</v>
      </c>
      <c r="C1309" s="4" t="str">
        <f>"翟雅妮"</f>
        <v>翟雅妮</v>
      </c>
      <c r="D1309" s="4" t="str">
        <f>"2021010527"</f>
        <v>2021010527</v>
      </c>
      <c r="E1309" s="4" t="str">
        <f>"05"</f>
        <v>05</v>
      </c>
      <c r="F1309" s="4" t="str">
        <f>"27"</f>
        <v>27</v>
      </c>
      <c r="G1309" s="4" t="s">
        <v>12</v>
      </c>
      <c r="H1309" s="5">
        <v>54.75</v>
      </c>
      <c r="I1309" s="4"/>
      <c r="J1309" s="4">
        <f>SUMPRODUCT(--((A1309=$A$3:$A$2785)*$H$3:$H$2785&gt;H1309))+1</f>
        <v>230</v>
      </c>
    </row>
    <row r="1310" s="1" customFormat="true" customHeight="true" spans="1:10">
      <c r="A1310" s="4" t="str">
        <f t="shared" si="167"/>
        <v>021</v>
      </c>
      <c r="B1310" s="4" t="s">
        <v>33</v>
      </c>
      <c r="C1310" s="4" t="str">
        <f>"龙娟"</f>
        <v>龙娟</v>
      </c>
      <c r="D1310" s="4" t="str">
        <f>"2021010618"</f>
        <v>2021010618</v>
      </c>
      <c r="E1310" s="4" t="str">
        <f>"06"</f>
        <v>06</v>
      </c>
      <c r="F1310" s="4" t="str">
        <f>"18"</f>
        <v>18</v>
      </c>
      <c r="G1310" s="4" t="s">
        <v>12</v>
      </c>
      <c r="H1310" s="5">
        <v>54.35</v>
      </c>
      <c r="I1310" s="4"/>
      <c r="J1310" s="4">
        <f>SUMPRODUCT(--((A1310=$A$3:$A$2785)*$H$3:$H$2785&gt;H1310))+1</f>
        <v>231</v>
      </c>
    </row>
    <row r="1311" s="1" customFormat="true" customHeight="true" spans="1:10">
      <c r="A1311" s="4" t="str">
        <f t="shared" si="167"/>
        <v>021</v>
      </c>
      <c r="B1311" s="4" t="s">
        <v>33</v>
      </c>
      <c r="C1311" s="4" t="str">
        <f>"蒋谊春"</f>
        <v>蒋谊春</v>
      </c>
      <c r="D1311" s="4" t="str">
        <f>"2021011607"</f>
        <v>2021011607</v>
      </c>
      <c r="E1311" s="4" t="str">
        <f>"16"</f>
        <v>16</v>
      </c>
      <c r="F1311" s="4" t="str">
        <f>"07"</f>
        <v>07</v>
      </c>
      <c r="G1311" s="4" t="s">
        <v>12</v>
      </c>
      <c r="H1311" s="5">
        <v>54.3</v>
      </c>
      <c r="I1311" s="4"/>
      <c r="J1311" s="4">
        <f>SUMPRODUCT(--((A1311=$A$3:$A$2785)*$H$3:$H$2785&gt;H1311))+1</f>
        <v>232</v>
      </c>
    </row>
    <row r="1312" s="1" customFormat="true" customHeight="true" spans="1:10">
      <c r="A1312" s="4" t="str">
        <f t="shared" si="167"/>
        <v>021</v>
      </c>
      <c r="B1312" s="4" t="s">
        <v>33</v>
      </c>
      <c r="C1312" s="4" t="str">
        <f>"卢瑶"</f>
        <v>卢瑶</v>
      </c>
      <c r="D1312" s="4" t="str">
        <f>"2021012116"</f>
        <v>2021012116</v>
      </c>
      <c r="E1312" s="4" t="str">
        <f>"21"</f>
        <v>21</v>
      </c>
      <c r="F1312" s="4" t="str">
        <f>"16"</f>
        <v>16</v>
      </c>
      <c r="G1312" s="4" t="s">
        <v>12</v>
      </c>
      <c r="H1312" s="5">
        <v>54.25</v>
      </c>
      <c r="I1312" s="4"/>
      <c r="J1312" s="4">
        <f>SUMPRODUCT(--((A1312=$A$3:$A$2785)*$H$3:$H$2785&gt;H1312))+1</f>
        <v>233</v>
      </c>
    </row>
    <row r="1313" s="1" customFormat="true" customHeight="true" spans="1:10">
      <c r="A1313" s="4" t="str">
        <f t="shared" si="167"/>
        <v>021</v>
      </c>
      <c r="B1313" s="4" t="s">
        <v>33</v>
      </c>
      <c r="C1313" s="4" t="str">
        <f>"李玉琪"</f>
        <v>李玉琪</v>
      </c>
      <c r="D1313" s="4" t="str">
        <f>"2021011620"</f>
        <v>2021011620</v>
      </c>
      <c r="E1313" s="4" t="str">
        <f>"16"</f>
        <v>16</v>
      </c>
      <c r="F1313" s="4" t="str">
        <f>"20"</f>
        <v>20</v>
      </c>
      <c r="G1313" s="4" t="s">
        <v>12</v>
      </c>
      <c r="H1313" s="5">
        <v>54.1</v>
      </c>
      <c r="I1313" s="4"/>
      <c r="J1313" s="4">
        <f>SUMPRODUCT(--((A1313=$A$3:$A$2785)*$H$3:$H$2785&gt;H1313))+1</f>
        <v>234</v>
      </c>
    </row>
    <row r="1314" s="1" customFormat="true" customHeight="true" spans="1:10">
      <c r="A1314" s="4" t="str">
        <f t="shared" si="167"/>
        <v>021</v>
      </c>
      <c r="B1314" s="4" t="s">
        <v>33</v>
      </c>
      <c r="C1314" s="4" t="str">
        <f>"吴孟圆"</f>
        <v>吴孟圆</v>
      </c>
      <c r="D1314" s="4" t="str">
        <f>"2021011713"</f>
        <v>2021011713</v>
      </c>
      <c r="E1314" s="4" t="str">
        <f>"17"</f>
        <v>17</v>
      </c>
      <c r="F1314" s="4" t="str">
        <f>"13"</f>
        <v>13</v>
      </c>
      <c r="G1314" s="4" t="s">
        <v>12</v>
      </c>
      <c r="H1314" s="5">
        <v>54.1</v>
      </c>
      <c r="I1314" s="4"/>
      <c r="J1314" s="4">
        <f>SUMPRODUCT(--((A1314=$A$3:$A$2785)*$H$3:$H$2785&gt;H1314))+1</f>
        <v>234</v>
      </c>
    </row>
    <row r="1315" s="1" customFormat="true" customHeight="true" spans="1:10">
      <c r="A1315" s="4" t="str">
        <f t="shared" si="167"/>
        <v>021</v>
      </c>
      <c r="B1315" s="4" t="s">
        <v>33</v>
      </c>
      <c r="C1315" s="4" t="str">
        <f>"胡海英"</f>
        <v>胡海英</v>
      </c>
      <c r="D1315" s="4" t="str">
        <f>"2021011210"</f>
        <v>2021011210</v>
      </c>
      <c r="E1315" s="4" t="str">
        <f>"12"</f>
        <v>12</v>
      </c>
      <c r="F1315" s="4" t="str">
        <f>"10"</f>
        <v>10</v>
      </c>
      <c r="G1315" s="4" t="s">
        <v>12</v>
      </c>
      <c r="H1315" s="5">
        <v>53.8</v>
      </c>
      <c r="I1315" s="4"/>
      <c r="J1315" s="4">
        <f>SUMPRODUCT(--((A1315=$A$3:$A$2785)*$H$3:$H$2785&gt;H1315))+1</f>
        <v>236</v>
      </c>
    </row>
    <row r="1316" s="1" customFormat="true" customHeight="true" spans="1:10">
      <c r="A1316" s="4" t="str">
        <f t="shared" si="167"/>
        <v>021</v>
      </c>
      <c r="B1316" s="4" t="s">
        <v>33</v>
      </c>
      <c r="C1316" s="4" t="str">
        <f>"唐官凤"</f>
        <v>唐官凤</v>
      </c>
      <c r="D1316" s="4" t="str">
        <f>"2021011027"</f>
        <v>2021011027</v>
      </c>
      <c r="E1316" s="4" t="str">
        <f>"10"</f>
        <v>10</v>
      </c>
      <c r="F1316" s="4" t="str">
        <f>"27"</f>
        <v>27</v>
      </c>
      <c r="G1316" s="4" t="s">
        <v>12</v>
      </c>
      <c r="H1316" s="5">
        <v>53.55</v>
      </c>
      <c r="I1316" s="4"/>
      <c r="J1316" s="4">
        <f>SUMPRODUCT(--((A1316=$A$3:$A$2785)*$H$3:$H$2785&gt;H1316))+1</f>
        <v>237</v>
      </c>
    </row>
    <row r="1317" s="1" customFormat="true" customHeight="true" spans="1:10">
      <c r="A1317" s="4" t="str">
        <f t="shared" si="167"/>
        <v>021</v>
      </c>
      <c r="B1317" s="4" t="s">
        <v>33</v>
      </c>
      <c r="C1317" s="4" t="str">
        <f>"向萍"</f>
        <v>向萍</v>
      </c>
      <c r="D1317" s="4" t="str">
        <f>"2021011711"</f>
        <v>2021011711</v>
      </c>
      <c r="E1317" s="4" t="str">
        <f>"17"</f>
        <v>17</v>
      </c>
      <c r="F1317" s="4" t="str">
        <f>"11"</f>
        <v>11</v>
      </c>
      <c r="G1317" s="4" t="s">
        <v>12</v>
      </c>
      <c r="H1317" s="5">
        <v>53.55</v>
      </c>
      <c r="I1317" s="4"/>
      <c r="J1317" s="4">
        <f>SUMPRODUCT(--((A1317=$A$3:$A$2785)*$H$3:$H$2785&gt;H1317))+1</f>
        <v>237</v>
      </c>
    </row>
    <row r="1318" s="1" customFormat="true" customHeight="true" spans="1:10">
      <c r="A1318" s="4" t="str">
        <f t="shared" si="167"/>
        <v>021</v>
      </c>
      <c r="B1318" s="4" t="s">
        <v>33</v>
      </c>
      <c r="C1318" s="4" t="str">
        <f>"袁淼"</f>
        <v>袁淼</v>
      </c>
      <c r="D1318" s="4" t="str">
        <f>"2021010802"</f>
        <v>2021010802</v>
      </c>
      <c r="E1318" s="4" t="str">
        <f>"08"</f>
        <v>08</v>
      </c>
      <c r="F1318" s="4" t="str">
        <f>"02"</f>
        <v>02</v>
      </c>
      <c r="G1318" s="4" t="s">
        <v>12</v>
      </c>
      <c r="H1318" s="5">
        <v>53.45</v>
      </c>
      <c r="I1318" s="4"/>
      <c r="J1318" s="4">
        <f>SUMPRODUCT(--((A1318=$A$3:$A$2785)*$H$3:$H$2785&gt;H1318))+1</f>
        <v>239</v>
      </c>
    </row>
    <row r="1319" s="1" customFormat="true" customHeight="true" spans="1:10">
      <c r="A1319" s="4" t="str">
        <f t="shared" si="167"/>
        <v>021</v>
      </c>
      <c r="B1319" s="4" t="s">
        <v>33</v>
      </c>
      <c r="C1319" s="4" t="str">
        <f>"贺尹"</f>
        <v>贺尹</v>
      </c>
      <c r="D1319" s="4" t="str">
        <f>"2021011815"</f>
        <v>2021011815</v>
      </c>
      <c r="E1319" s="4" t="str">
        <f>"18"</f>
        <v>18</v>
      </c>
      <c r="F1319" s="4" t="str">
        <f>"15"</f>
        <v>15</v>
      </c>
      <c r="G1319" s="4" t="s">
        <v>12</v>
      </c>
      <c r="H1319" s="5">
        <v>53.4</v>
      </c>
      <c r="I1319" s="4"/>
      <c r="J1319" s="4">
        <f>SUMPRODUCT(--((A1319=$A$3:$A$2785)*$H$3:$H$2785&gt;H1319))+1</f>
        <v>240</v>
      </c>
    </row>
    <row r="1320" s="1" customFormat="true" customHeight="true" spans="1:10">
      <c r="A1320" s="4" t="str">
        <f t="shared" si="167"/>
        <v>021</v>
      </c>
      <c r="B1320" s="4" t="s">
        <v>33</v>
      </c>
      <c r="C1320" s="4" t="str">
        <f>"冯慕华"</f>
        <v>冯慕华</v>
      </c>
      <c r="D1320" s="4" t="str">
        <f>"2021010601"</f>
        <v>2021010601</v>
      </c>
      <c r="E1320" s="4" t="str">
        <f>"06"</f>
        <v>06</v>
      </c>
      <c r="F1320" s="4" t="str">
        <f>"01"</f>
        <v>01</v>
      </c>
      <c r="G1320" s="4" t="s">
        <v>12</v>
      </c>
      <c r="H1320" s="5">
        <v>53.15</v>
      </c>
      <c r="I1320" s="4"/>
      <c r="J1320" s="4">
        <f>SUMPRODUCT(--((A1320=$A$3:$A$2785)*$H$3:$H$2785&gt;H1320))+1</f>
        <v>241</v>
      </c>
    </row>
    <row r="1321" s="1" customFormat="true" customHeight="true" spans="1:10">
      <c r="A1321" s="4" t="str">
        <f t="shared" si="167"/>
        <v>021</v>
      </c>
      <c r="B1321" s="4" t="s">
        <v>33</v>
      </c>
      <c r="C1321" s="4" t="str">
        <f>"杨婷"</f>
        <v>杨婷</v>
      </c>
      <c r="D1321" s="4" t="str">
        <f>"2021010922"</f>
        <v>2021010922</v>
      </c>
      <c r="E1321" s="4" t="str">
        <f>"09"</f>
        <v>09</v>
      </c>
      <c r="F1321" s="4" t="str">
        <f>"22"</f>
        <v>22</v>
      </c>
      <c r="G1321" s="4" t="s">
        <v>12</v>
      </c>
      <c r="H1321" s="5">
        <v>52.7</v>
      </c>
      <c r="I1321" s="4"/>
      <c r="J1321" s="4">
        <f>SUMPRODUCT(--((A1321=$A$3:$A$2785)*$H$3:$H$2785&gt;H1321))+1</f>
        <v>242</v>
      </c>
    </row>
    <row r="1322" s="1" customFormat="true" customHeight="true" spans="1:10">
      <c r="A1322" s="4" t="str">
        <f t="shared" si="167"/>
        <v>021</v>
      </c>
      <c r="B1322" s="4" t="s">
        <v>33</v>
      </c>
      <c r="C1322" s="4" t="str">
        <f>"梁琳华"</f>
        <v>梁琳华</v>
      </c>
      <c r="D1322" s="4" t="str">
        <f>"2021011017"</f>
        <v>2021011017</v>
      </c>
      <c r="E1322" s="4" t="str">
        <f>"10"</f>
        <v>10</v>
      </c>
      <c r="F1322" s="4" t="str">
        <f>"17"</f>
        <v>17</v>
      </c>
      <c r="G1322" s="4" t="s">
        <v>12</v>
      </c>
      <c r="H1322" s="5">
        <v>52.45</v>
      </c>
      <c r="I1322" s="4"/>
      <c r="J1322" s="4">
        <f>SUMPRODUCT(--((A1322=$A$3:$A$2785)*$H$3:$H$2785&gt;H1322))+1</f>
        <v>243</v>
      </c>
    </row>
    <row r="1323" s="1" customFormat="true" customHeight="true" spans="1:10">
      <c r="A1323" s="4" t="str">
        <f t="shared" si="167"/>
        <v>021</v>
      </c>
      <c r="B1323" s="4" t="s">
        <v>33</v>
      </c>
      <c r="C1323" s="4" t="str">
        <f>"蒲霞"</f>
        <v>蒲霞</v>
      </c>
      <c r="D1323" s="4" t="str">
        <f>"2021010602"</f>
        <v>2021010602</v>
      </c>
      <c r="E1323" s="4" t="str">
        <f>"06"</f>
        <v>06</v>
      </c>
      <c r="F1323" s="4" t="str">
        <f>"02"</f>
        <v>02</v>
      </c>
      <c r="G1323" s="4" t="s">
        <v>12</v>
      </c>
      <c r="H1323" s="5">
        <v>52.3</v>
      </c>
      <c r="I1323" s="4"/>
      <c r="J1323" s="4">
        <f>SUMPRODUCT(--((A1323=$A$3:$A$2785)*$H$3:$H$2785&gt;H1323))+1</f>
        <v>244</v>
      </c>
    </row>
    <row r="1324" s="1" customFormat="true" customHeight="true" spans="1:10">
      <c r="A1324" s="4" t="str">
        <f t="shared" si="167"/>
        <v>021</v>
      </c>
      <c r="B1324" s="4" t="s">
        <v>33</v>
      </c>
      <c r="C1324" s="4" t="str">
        <f>"沈红艳"</f>
        <v>沈红艳</v>
      </c>
      <c r="D1324" s="4" t="str">
        <f>"2021012115"</f>
        <v>2021012115</v>
      </c>
      <c r="E1324" s="4" t="str">
        <f>"21"</f>
        <v>21</v>
      </c>
      <c r="F1324" s="4" t="str">
        <f>"15"</f>
        <v>15</v>
      </c>
      <c r="G1324" s="4" t="s">
        <v>12</v>
      </c>
      <c r="H1324" s="5">
        <v>52.15</v>
      </c>
      <c r="I1324" s="4"/>
      <c r="J1324" s="4">
        <f>SUMPRODUCT(--((A1324=$A$3:$A$2785)*$H$3:$H$2785&gt;H1324))+1</f>
        <v>245</v>
      </c>
    </row>
    <row r="1325" s="1" customFormat="true" customHeight="true" spans="1:10">
      <c r="A1325" s="4" t="str">
        <f t="shared" si="167"/>
        <v>021</v>
      </c>
      <c r="B1325" s="4" t="s">
        <v>33</v>
      </c>
      <c r="C1325" s="4" t="str">
        <f>"杨媛媛"</f>
        <v>杨媛媛</v>
      </c>
      <c r="D1325" s="4" t="str">
        <f>"2021011927"</f>
        <v>2021011927</v>
      </c>
      <c r="E1325" s="4" t="str">
        <f>"19"</f>
        <v>19</v>
      </c>
      <c r="F1325" s="4" t="str">
        <f>"27"</f>
        <v>27</v>
      </c>
      <c r="G1325" s="4" t="s">
        <v>12</v>
      </c>
      <c r="H1325" s="5">
        <v>51.6</v>
      </c>
      <c r="I1325" s="4"/>
      <c r="J1325" s="4">
        <f>SUMPRODUCT(--((A1325=$A$3:$A$2785)*$H$3:$H$2785&gt;H1325))+1</f>
        <v>246</v>
      </c>
    </row>
    <row r="1326" s="1" customFormat="true" customHeight="true" spans="1:10">
      <c r="A1326" s="4" t="str">
        <f t="shared" si="167"/>
        <v>021</v>
      </c>
      <c r="B1326" s="4" t="s">
        <v>33</v>
      </c>
      <c r="C1326" s="4" t="str">
        <f>"杨梓羚"</f>
        <v>杨梓羚</v>
      </c>
      <c r="D1326" s="4" t="str">
        <f>"2021010821"</f>
        <v>2021010821</v>
      </c>
      <c r="E1326" s="4" t="str">
        <f>"08"</f>
        <v>08</v>
      </c>
      <c r="F1326" s="4" t="str">
        <f>"21"</f>
        <v>21</v>
      </c>
      <c r="G1326" s="4" t="s">
        <v>12</v>
      </c>
      <c r="H1326" s="5">
        <v>51.15</v>
      </c>
      <c r="I1326" s="4"/>
      <c r="J1326" s="4">
        <f>SUMPRODUCT(--((A1326=$A$3:$A$2785)*$H$3:$H$2785&gt;H1326))+1</f>
        <v>247</v>
      </c>
    </row>
    <row r="1327" s="1" customFormat="true" customHeight="true" spans="1:10">
      <c r="A1327" s="4" t="str">
        <f t="shared" si="167"/>
        <v>021</v>
      </c>
      <c r="B1327" s="4" t="s">
        <v>33</v>
      </c>
      <c r="C1327" s="4" t="str">
        <f>"段洁"</f>
        <v>段洁</v>
      </c>
      <c r="D1327" s="4" t="str">
        <f>"2021011201"</f>
        <v>2021011201</v>
      </c>
      <c r="E1327" s="4" t="str">
        <f>"12"</f>
        <v>12</v>
      </c>
      <c r="F1327" s="4" t="str">
        <f>"01"</f>
        <v>01</v>
      </c>
      <c r="G1327" s="4" t="s">
        <v>12</v>
      </c>
      <c r="H1327" s="5">
        <v>50.1</v>
      </c>
      <c r="I1327" s="4"/>
      <c r="J1327" s="4">
        <f>SUMPRODUCT(--((A1327=$A$3:$A$2785)*$H$3:$H$2785&gt;H1327))+1</f>
        <v>248</v>
      </c>
    </row>
    <row r="1328" s="1" customFormat="true" customHeight="true" spans="1:10">
      <c r="A1328" s="4" t="str">
        <f t="shared" si="167"/>
        <v>021</v>
      </c>
      <c r="B1328" s="4" t="s">
        <v>33</v>
      </c>
      <c r="C1328" s="4" t="str">
        <f>"黄海灵"</f>
        <v>黄海灵</v>
      </c>
      <c r="D1328" s="4" t="str">
        <f>"2021011224"</f>
        <v>2021011224</v>
      </c>
      <c r="E1328" s="4" t="str">
        <f>"12"</f>
        <v>12</v>
      </c>
      <c r="F1328" s="4" t="str">
        <f>"24"</f>
        <v>24</v>
      </c>
      <c r="G1328" s="4" t="s">
        <v>12</v>
      </c>
      <c r="H1328" s="5">
        <v>50.05</v>
      </c>
      <c r="I1328" s="4"/>
      <c r="J1328" s="4">
        <f>SUMPRODUCT(--((A1328=$A$3:$A$2785)*$H$3:$H$2785&gt;H1328))+1</f>
        <v>249</v>
      </c>
    </row>
    <row r="1329" s="1" customFormat="true" customHeight="true" spans="1:10">
      <c r="A1329" s="4" t="str">
        <f t="shared" si="167"/>
        <v>021</v>
      </c>
      <c r="B1329" s="4" t="s">
        <v>33</v>
      </c>
      <c r="C1329" s="4" t="str">
        <f>"向琳逸"</f>
        <v>向琳逸</v>
      </c>
      <c r="D1329" s="4" t="str">
        <f>"2021012101"</f>
        <v>2021012101</v>
      </c>
      <c r="E1329" s="4" t="str">
        <f>"21"</f>
        <v>21</v>
      </c>
      <c r="F1329" s="4" t="str">
        <f>"01"</f>
        <v>01</v>
      </c>
      <c r="G1329" s="4" t="s">
        <v>12</v>
      </c>
      <c r="H1329" s="5">
        <v>49.95</v>
      </c>
      <c r="I1329" s="4"/>
      <c r="J1329" s="4">
        <f>SUMPRODUCT(--((A1329=$A$3:$A$2785)*$H$3:$H$2785&gt;H1329))+1</f>
        <v>250</v>
      </c>
    </row>
    <row r="1330" s="1" customFormat="true" customHeight="true" spans="1:10">
      <c r="A1330" s="4" t="str">
        <f t="shared" si="167"/>
        <v>021</v>
      </c>
      <c r="B1330" s="4" t="s">
        <v>33</v>
      </c>
      <c r="C1330" s="4" t="str">
        <f>"吴珊珊"</f>
        <v>吴珊珊</v>
      </c>
      <c r="D1330" s="4" t="str">
        <f>"2021010822"</f>
        <v>2021010822</v>
      </c>
      <c r="E1330" s="4" t="str">
        <f>"08"</f>
        <v>08</v>
      </c>
      <c r="F1330" s="4" t="str">
        <f>"22"</f>
        <v>22</v>
      </c>
      <c r="G1330" s="4" t="s">
        <v>12</v>
      </c>
      <c r="H1330" s="5">
        <v>49.85</v>
      </c>
      <c r="I1330" s="4"/>
      <c r="J1330" s="4">
        <f>SUMPRODUCT(--((A1330=$A$3:$A$2785)*$H$3:$H$2785&gt;H1330))+1</f>
        <v>251</v>
      </c>
    </row>
    <row r="1331" s="1" customFormat="true" customHeight="true" spans="1:10">
      <c r="A1331" s="4" t="str">
        <f t="shared" si="167"/>
        <v>021</v>
      </c>
      <c r="B1331" s="4" t="s">
        <v>33</v>
      </c>
      <c r="C1331" s="4" t="str">
        <f>"张歆苡"</f>
        <v>张歆苡</v>
      </c>
      <c r="D1331" s="4" t="str">
        <f>"2021010929"</f>
        <v>2021010929</v>
      </c>
      <c r="E1331" s="4" t="str">
        <f>"09"</f>
        <v>09</v>
      </c>
      <c r="F1331" s="4" t="str">
        <f>"29"</f>
        <v>29</v>
      </c>
      <c r="G1331" s="4" t="s">
        <v>12</v>
      </c>
      <c r="H1331" s="5">
        <v>49.85</v>
      </c>
      <c r="I1331" s="4"/>
      <c r="J1331" s="4">
        <f>SUMPRODUCT(--((A1331=$A$3:$A$2785)*$H$3:$H$2785&gt;H1331))+1</f>
        <v>251</v>
      </c>
    </row>
    <row r="1332" s="1" customFormat="true" customHeight="true" spans="1:10">
      <c r="A1332" s="4" t="str">
        <f t="shared" si="167"/>
        <v>021</v>
      </c>
      <c r="B1332" s="4" t="s">
        <v>33</v>
      </c>
      <c r="C1332" s="4" t="str">
        <f>"黄灿"</f>
        <v>黄灿</v>
      </c>
      <c r="D1332" s="4" t="str">
        <f>"2021012312"</f>
        <v>2021012312</v>
      </c>
      <c r="E1332" s="4" t="str">
        <f>"23"</f>
        <v>23</v>
      </c>
      <c r="F1332" s="4" t="str">
        <f>"12"</f>
        <v>12</v>
      </c>
      <c r="G1332" s="4" t="s">
        <v>12</v>
      </c>
      <c r="H1332" s="5">
        <v>49.75</v>
      </c>
      <c r="I1332" s="4"/>
      <c r="J1332" s="4">
        <f>SUMPRODUCT(--((A1332=$A$3:$A$2785)*$H$3:$H$2785&gt;H1332))+1</f>
        <v>253</v>
      </c>
    </row>
    <row r="1333" s="1" customFormat="true" customHeight="true" spans="1:10">
      <c r="A1333" s="4" t="str">
        <f t="shared" si="167"/>
        <v>021</v>
      </c>
      <c r="B1333" s="4" t="s">
        <v>33</v>
      </c>
      <c r="C1333" s="4" t="str">
        <f>"仇昭君"</f>
        <v>仇昭君</v>
      </c>
      <c r="D1333" s="4" t="str">
        <f>"2021011317"</f>
        <v>2021011317</v>
      </c>
      <c r="E1333" s="4" t="str">
        <f>"13"</f>
        <v>13</v>
      </c>
      <c r="F1333" s="4" t="str">
        <f>"17"</f>
        <v>17</v>
      </c>
      <c r="G1333" s="4" t="s">
        <v>12</v>
      </c>
      <c r="H1333" s="5">
        <v>49.4</v>
      </c>
      <c r="I1333" s="4"/>
      <c r="J1333" s="4">
        <f>SUMPRODUCT(--((A1333=$A$3:$A$2785)*$H$3:$H$2785&gt;H1333))+1</f>
        <v>254</v>
      </c>
    </row>
    <row r="1334" s="1" customFormat="true" customHeight="true" spans="1:10">
      <c r="A1334" s="4" t="str">
        <f t="shared" si="167"/>
        <v>021</v>
      </c>
      <c r="B1334" s="4" t="s">
        <v>33</v>
      </c>
      <c r="C1334" s="4" t="str">
        <f>"阳蕾"</f>
        <v>阳蕾</v>
      </c>
      <c r="D1334" s="4" t="str">
        <f>"2021011023"</f>
        <v>2021011023</v>
      </c>
      <c r="E1334" s="4" t="str">
        <f>"10"</f>
        <v>10</v>
      </c>
      <c r="F1334" s="4" t="str">
        <f>"23"</f>
        <v>23</v>
      </c>
      <c r="G1334" s="4" t="s">
        <v>12</v>
      </c>
      <c r="H1334" s="5">
        <v>49.15</v>
      </c>
      <c r="I1334" s="4"/>
      <c r="J1334" s="4">
        <f>SUMPRODUCT(--((A1334=$A$3:$A$2785)*$H$3:$H$2785&gt;H1334))+1</f>
        <v>255</v>
      </c>
    </row>
    <row r="1335" s="1" customFormat="true" customHeight="true" spans="1:10">
      <c r="A1335" s="4" t="str">
        <f t="shared" si="167"/>
        <v>021</v>
      </c>
      <c r="B1335" s="4" t="s">
        <v>33</v>
      </c>
      <c r="C1335" s="4" t="str">
        <f>"张文金"</f>
        <v>张文金</v>
      </c>
      <c r="D1335" s="4" t="str">
        <f>"2021011204"</f>
        <v>2021011204</v>
      </c>
      <c r="E1335" s="4" t="str">
        <f>"12"</f>
        <v>12</v>
      </c>
      <c r="F1335" s="4" t="str">
        <f>"04"</f>
        <v>04</v>
      </c>
      <c r="G1335" s="4" t="s">
        <v>12</v>
      </c>
      <c r="H1335" s="5">
        <v>49.1</v>
      </c>
      <c r="I1335" s="4"/>
      <c r="J1335" s="4">
        <f>SUMPRODUCT(--((A1335=$A$3:$A$2785)*$H$3:$H$2785&gt;H1335))+1</f>
        <v>256</v>
      </c>
    </row>
    <row r="1336" s="1" customFormat="true" customHeight="true" spans="1:10">
      <c r="A1336" s="4" t="str">
        <f t="shared" ref="A1336:A1399" si="169">"021"</f>
        <v>021</v>
      </c>
      <c r="B1336" s="4" t="s">
        <v>33</v>
      </c>
      <c r="C1336" s="4" t="str">
        <f>"包涵"</f>
        <v>包涵</v>
      </c>
      <c r="D1336" s="4" t="str">
        <f>"2021011321"</f>
        <v>2021011321</v>
      </c>
      <c r="E1336" s="4" t="str">
        <f>"13"</f>
        <v>13</v>
      </c>
      <c r="F1336" s="4" t="str">
        <f>"21"</f>
        <v>21</v>
      </c>
      <c r="G1336" s="4" t="s">
        <v>12</v>
      </c>
      <c r="H1336" s="5">
        <v>48.65</v>
      </c>
      <c r="I1336" s="4"/>
      <c r="J1336" s="4">
        <f>SUMPRODUCT(--((A1336=$A$3:$A$2785)*$H$3:$H$2785&gt;H1336))+1</f>
        <v>257</v>
      </c>
    </row>
    <row r="1337" s="1" customFormat="true" customHeight="true" spans="1:10">
      <c r="A1337" s="4" t="str">
        <f t="shared" si="169"/>
        <v>021</v>
      </c>
      <c r="B1337" s="4" t="s">
        <v>33</v>
      </c>
      <c r="C1337" s="4" t="str">
        <f>"丁艺"</f>
        <v>丁艺</v>
      </c>
      <c r="D1337" s="4" t="str">
        <f>"2021010520"</f>
        <v>2021010520</v>
      </c>
      <c r="E1337" s="4" t="str">
        <f>"05"</f>
        <v>05</v>
      </c>
      <c r="F1337" s="4" t="str">
        <f>"20"</f>
        <v>20</v>
      </c>
      <c r="G1337" s="4" t="s">
        <v>12</v>
      </c>
      <c r="H1337" s="5">
        <v>47.95</v>
      </c>
      <c r="I1337" s="4"/>
      <c r="J1337" s="4">
        <f>SUMPRODUCT(--((A1337=$A$3:$A$2785)*$H$3:$H$2785&gt;H1337))+1</f>
        <v>258</v>
      </c>
    </row>
    <row r="1338" s="1" customFormat="true" customHeight="true" spans="1:10">
      <c r="A1338" s="4" t="str">
        <f t="shared" si="169"/>
        <v>021</v>
      </c>
      <c r="B1338" s="4" t="s">
        <v>33</v>
      </c>
      <c r="C1338" s="4" t="str">
        <f>"吴海丽"</f>
        <v>吴海丽</v>
      </c>
      <c r="D1338" s="4" t="str">
        <f>"2021010813"</f>
        <v>2021010813</v>
      </c>
      <c r="E1338" s="4" t="str">
        <f>"08"</f>
        <v>08</v>
      </c>
      <c r="F1338" s="4" t="str">
        <f>"13"</f>
        <v>13</v>
      </c>
      <c r="G1338" s="4" t="s">
        <v>12</v>
      </c>
      <c r="H1338" s="5">
        <v>47.65</v>
      </c>
      <c r="I1338" s="4"/>
      <c r="J1338" s="4">
        <f>SUMPRODUCT(--((A1338=$A$3:$A$2785)*$H$3:$H$2785&gt;H1338))+1</f>
        <v>259</v>
      </c>
    </row>
    <row r="1339" s="1" customFormat="true" customHeight="true" spans="1:10">
      <c r="A1339" s="4" t="str">
        <f t="shared" si="169"/>
        <v>021</v>
      </c>
      <c r="B1339" s="4" t="s">
        <v>33</v>
      </c>
      <c r="C1339" s="4" t="str">
        <f>"李欣蕊"</f>
        <v>李欣蕊</v>
      </c>
      <c r="D1339" s="4" t="str">
        <f>"2021010701"</f>
        <v>2021010701</v>
      </c>
      <c r="E1339" s="4" t="str">
        <f>"07"</f>
        <v>07</v>
      </c>
      <c r="F1339" s="4" t="str">
        <f>"01"</f>
        <v>01</v>
      </c>
      <c r="G1339" s="4" t="s">
        <v>12</v>
      </c>
      <c r="H1339" s="5">
        <v>47.4</v>
      </c>
      <c r="I1339" s="4"/>
      <c r="J1339" s="4">
        <f>SUMPRODUCT(--((A1339=$A$3:$A$2785)*$H$3:$H$2785&gt;H1339))+1</f>
        <v>260</v>
      </c>
    </row>
    <row r="1340" s="1" customFormat="true" customHeight="true" spans="1:10">
      <c r="A1340" s="4" t="str">
        <f t="shared" si="169"/>
        <v>021</v>
      </c>
      <c r="B1340" s="4" t="s">
        <v>33</v>
      </c>
      <c r="C1340" s="4" t="str">
        <f>"王梦洁"</f>
        <v>王梦洁</v>
      </c>
      <c r="D1340" s="4" t="str">
        <f>"2021010801"</f>
        <v>2021010801</v>
      </c>
      <c r="E1340" s="4" t="str">
        <f>"08"</f>
        <v>08</v>
      </c>
      <c r="F1340" s="4" t="str">
        <f>"01"</f>
        <v>01</v>
      </c>
      <c r="G1340" s="4" t="s">
        <v>12</v>
      </c>
      <c r="H1340" s="5">
        <v>47.3</v>
      </c>
      <c r="I1340" s="4"/>
      <c r="J1340" s="4">
        <f>SUMPRODUCT(--((A1340=$A$3:$A$2785)*$H$3:$H$2785&gt;H1340))+1</f>
        <v>261</v>
      </c>
    </row>
    <row r="1341" s="1" customFormat="true" customHeight="true" spans="1:10">
      <c r="A1341" s="4" t="str">
        <f t="shared" si="169"/>
        <v>021</v>
      </c>
      <c r="B1341" s="4" t="s">
        <v>33</v>
      </c>
      <c r="C1341" s="4" t="str">
        <f>"杨萍"</f>
        <v>杨萍</v>
      </c>
      <c r="D1341" s="4" t="str">
        <f>"2021012124"</f>
        <v>2021012124</v>
      </c>
      <c r="E1341" s="4" t="str">
        <f>"21"</f>
        <v>21</v>
      </c>
      <c r="F1341" s="4" t="str">
        <f>"24"</f>
        <v>24</v>
      </c>
      <c r="G1341" s="4" t="s">
        <v>12</v>
      </c>
      <c r="H1341" s="5">
        <v>46.55</v>
      </c>
      <c r="I1341" s="4"/>
      <c r="J1341" s="4">
        <f>SUMPRODUCT(--((A1341=$A$3:$A$2785)*$H$3:$H$2785&gt;H1341))+1</f>
        <v>262</v>
      </c>
    </row>
    <row r="1342" s="1" customFormat="true" customHeight="true" spans="1:10">
      <c r="A1342" s="4" t="str">
        <f t="shared" si="169"/>
        <v>021</v>
      </c>
      <c r="B1342" s="4" t="s">
        <v>33</v>
      </c>
      <c r="C1342" s="4" t="str">
        <f>"毛彦珺"</f>
        <v>毛彦珺</v>
      </c>
      <c r="D1342" s="4" t="str">
        <f>"2021011625"</f>
        <v>2021011625</v>
      </c>
      <c r="E1342" s="4" t="str">
        <f>"16"</f>
        <v>16</v>
      </c>
      <c r="F1342" s="4" t="str">
        <f>"25"</f>
        <v>25</v>
      </c>
      <c r="G1342" s="4" t="s">
        <v>12</v>
      </c>
      <c r="H1342" s="5">
        <v>41.95</v>
      </c>
      <c r="I1342" s="4"/>
      <c r="J1342" s="4">
        <f>SUMPRODUCT(--((A1342=$A$3:$A$2785)*$H$3:$H$2785&gt;H1342))+1</f>
        <v>263</v>
      </c>
    </row>
    <row r="1343" s="1" customFormat="true" customHeight="true" spans="1:10">
      <c r="A1343" s="4" t="str">
        <f t="shared" si="169"/>
        <v>021</v>
      </c>
      <c r="B1343" s="4" t="s">
        <v>33</v>
      </c>
      <c r="C1343" s="4" t="str">
        <f>"尹文英"</f>
        <v>尹文英</v>
      </c>
      <c r="D1343" s="4" t="str">
        <f>"2021011816"</f>
        <v>2021011816</v>
      </c>
      <c r="E1343" s="4" t="str">
        <f>"18"</f>
        <v>18</v>
      </c>
      <c r="F1343" s="4" t="str">
        <f>"16"</f>
        <v>16</v>
      </c>
      <c r="G1343" s="4" t="s">
        <v>12</v>
      </c>
      <c r="H1343" s="5">
        <v>39.3</v>
      </c>
      <c r="I1343" s="4"/>
      <c r="J1343" s="4">
        <f>SUMPRODUCT(--((A1343=$A$3:$A$2785)*$H$3:$H$2785&gt;H1343))+1</f>
        <v>264</v>
      </c>
    </row>
    <row r="1344" s="1" customFormat="true" customHeight="true" spans="1:10">
      <c r="A1344" s="4" t="str">
        <f t="shared" si="169"/>
        <v>021</v>
      </c>
      <c r="B1344" s="4" t="s">
        <v>33</v>
      </c>
      <c r="C1344" s="4" t="str">
        <f>"陈宏琳"</f>
        <v>陈宏琳</v>
      </c>
      <c r="D1344" s="4" t="str">
        <f>"2021011208"</f>
        <v>2021011208</v>
      </c>
      <c r="E1344" s="4" t="str">
        <f>"12"</f>
        <v>12</v>
      </c>
      <c r="F1344" s="4" t="str">
        <f>"08"</f>
        <v>08</v>
      </c>
      <c r="G1344" s="4" t="s">
        <v>12</v>
      </c>
      <c r="H1344" s="5">
        <v>38.4</v>
      </c>
      <c r="I1344" s="4"/>
      <c r="J1344" s="4">
        <f>SUMPRODUCT(--((A1344=$A$3:$A$2785)*$H$3:$H$2785&gt;H1344))+1</f>
        <v>265</v>
      </c>
    </row>
    <row r="1345" s="1" customFormat="true" customHeight="true" spans="1:10">
      <c r="A1345" s="4" t="str">
        <f t="shared" si="169"/>
        <v>021</v>
      </c>
      <c r="B1345" s="4" t="s">
        <v>33</v>
      </c>
      <c r="C1345" s="4" t="str">
        <f>"张荔"</f>
        <v>张荔</v>
      </c>
      <c r="D1345" s="4" t="str">
        <f>"2021011225"</f>
        <v>2021011225</v>
      </c>
      <c r="E1345" s="4" t="str">
        <f>"12"</f>
        <v>12</v>
      </c>
      <c r="F1345" s="4" t="str">
        <f>"25"</f>
        <v>25</v>
      </c>
      <c r="G1345" s="4" t="s">
        <v>12</v>
      </c>
      <c r="H1345" s="5">
        <v>37.9</v>
      </c>
      <c r="I1345" s="4"/>
      <c r="J1345" s="4">
        <f>SUMPRODUCT(--((A1345=$A$3:$A$2785)*$H$3:$H$2785&gt;H1345))+1</f>
        <v>266</v>
      </c>
    </row>
    <row r="1346" s="1" customFormat="true" customHeight="true" spans="1:10">
      <c r="A1346" s="4" t="str">
        <f t="shared" si="169"/>
        <v>021</v>
      </c>
      <c r="B1346" s="4" t="s">
        <v>33</v>
      </c>
      <c r="C1346" s="4" t="str">
        <f>"易双平"</f>
        <v>易双平</v>
      </c>
      <c r="D1346" s="4" t="str">
        <f>"2021010710"</f>
        <v>2021010710</v>
      </c>
      <c r="E1346" s="4" t="str">
        <f>"07"</f>
        <v>07</v>
      </c>
      <c r="F1346" s="4" t="str">
        <f>"10"</f>
        <v>10</v>
      </c>
      <c r="G1346" s="4" t="s">
        <v>12</v>
      </c>
      <c r="H1346" s="5">
        <v>22.6</v>
      </c>
      <c r="I1346" s="4"/>
      <c r="J1346" s="4">
        <f>SUMPRODUCT(--((A1346=$A$3:$A$2785)*$H$3:$H$2785&gt;H1346))+1</f>
        <v>267</v>
      </c>
    </row>
    <row r="1347" s="1" customFormat="true" customHeight="true" spans="1:10">
      <c r="A1347" s="4" t="str">
        <f t="shared" si="169"/>
        <v>021</v>
      </c>
      <c r="B1347" s="4" t="s">
        <v>33</v>
      </c>
      <c r="C1347" s="4" t="str">
        <f>"龙丽华"</f>
        <v>龙丽华</v>
      </c>
      <c r="D1347" s="4" t="str">
        <f>"2021010511"</f>
        <v>2021010511</v>
      </c>
      <c r="E1347" s="4" t="str">
        <f t="shared" ref="E1347:E1355" si="170">"05"</f>
        <v>05</v>
      </c>
      <c r="F1347" s="4" t="str">
        <f>"11"</f>
        <v>11</v>
      </c>
      <c r="G1347" s="4" t="s">
        <v>12</v>
      </c>
      <c r="H1347" s="5">
        <v>0</v>
      </c>
      <c r="I1347" s="6" t="s">
        <v>13</v>
      </c>
      <c r="J1347" s="4">
        <f>SUMPRODUCT(--((A1347=$A$3:$A$2785)*$H$3:$H$2785&gt;H1347))+1</f>
        <v>268</v>
      </c>
    </row>
    <row r="1348" s="1" customFormat="true" customHeight="true" spans="1:10">
      <c r="A1348" s="4" t="str">
        <f t="shared" si="169"/>
        <v>021</v>
      </c>
      <c r="B1348" s="4" t="s">
        <v>33</v>
      </c>
      <c r="C1348" s="4" t="str">
        <f>"欧阳欢"</f>
        <v>欧阳欢</v>
      </c>
      <c r="D1348" s="4" t="str">
        <f>"2021010516"</f>
        <v>2021010516</v>
      </c>
      <c r="E1348" s="4" t="str">
        <f t="shared" si="170"/>
        <v>05</v>
      </c>
      <c r="F1348" s="4" t="str">
        <f>"16"</f>
        <v>16</v>
      </c>
      <c r="G1348" s="4" t="s">
        <v>12</v>
      </c>
      <c r="H1348" s="5">
        <v>0</v>
      </c>
      <c r="I1348" s="6" t="s">
        <v>13</v>
      </c>
      <c r="J1348" s="4">
        <f>SUMPRODUCT(--((A1348=$A$3:$A$2785)*$H$3:$H$2785&gt;H1348))+1</f>
        <v>268</v>
      </c>
    </row>
    <row r="1349" s="1" customFormat="true" customHeight="true" spans="1:10">
      <c r="A1349" s="4" t="str">
        <f t="shared" si="169"/>
        <v>021</v>
      </c>
      <c r="B1349" s="4" t="s">
        <v>33</v>
      </c>
      <c r="C1349" s="4" t="str">
        <f>"姚倩"</f>
        <v>姚倩</v>
      </c>
      <c r="D1349" s="4" t="str">
        <f>"2021010517"</f>
        <v>2021010517</v>
      </c>
      <c r="E1349" s="4" t="str">
        <f t="shared" si="170"/>
        <v>05</v>
      </c>
      <c r="F1349" s="4" t="str">
        <f>"17"</f>
        <v>17</v>
      </c>
      <c r="G1349" s="4" t="s">
        <v>12</v>
      </c>
      <c r="H1349" s="5">
        <v>0</v>
      </c>
      <c r="I1349" s="6" t="s">
        <v>13</v>
      </c>
      <c r="J1349" s="4">
        <f>SUMPRODUCT(--((A1349=$A$3:$A$2785)*$H$3:$H$2785&gt;H1349))+1</f>
        <v>268</v>
      </c>
    </row>
    <row r="1350" s="1" customFormat="true" customHeight="true" spans="1:10">
      <c r="A1350" s="4" t="str">
        <f t="shared" si="169"/>
        <v>021</v>
      </c>
      <c r="B1350" s="4" t="s">
        <v>33</v>
      </c>
      <c r="C1350" s="4" t="str">
        <f>"石玲"</f>
        <v>石玲</v>
      </c>
      <c r="D1350" s="4" t="str">
        <f>"2021010518"</f>
        <v>2021010518</v>
      </c>
      <c r="E1350" s="4" t="str">
        <f t="shared" si="170"/>
        <v>05</v>
      </c>
      <c r="F1350" s="4" t="str">
        <f>"18"</f>
        <v>18</v>
      </c>
      <c r="G1350" s="4" t="s">
        <v>12</v>
      </c>
      <c r="H1350" s="5">
        <v>0</v>
      </c>
      <c r="I1350" s="6" t="s">
        <v>13</v>
      </c>
      <c r="J1350" s="4">
        <f>SUMPRODUCT(--((A1350=$A$3:$A$2785)*$H$3:$H$2785&gt;H1350))+1</f>
        <v>268</v>
      </c>
    </row>
    <row r="1351" s="1" customFormat="true" customHeight="true" spans="1:10">
      <c r="A1351" s="4" t="str">
        <f t="shared" si="169"/>
        <v>021</v>
      </c>
      <c r="B1351" s="4" t="s">
        <v>33</v>
      </c>
      <c r="C1351" s="4" t="str">
        <f>"石芳"</f>
        <v>石芳</v>
      </c>
      <c r="D1351" s="4" t="str">
        <f>"2021010522"</f>
        <v>2021010522</v>
      </c>
      <c r="E1351" s="4" t="str">
        <f t="shared" si="170"/>
        <v>05</v>
      </c>
      <c r="F1351" s="4" t="str">
        <f>"22"</f>
        <v>22</v>
      </c>
      <c r="G1351" s="4" t="s">
        <v>12</v>
      </c>
      <c r="H1351" s="5">
        <v>0</v>
      </c>
      <c r="I1351" s="6" t="s">
        <v>13</v>
      </c>
      <c r="J1351" s="4">
        <f>SUMPRODUCT(--((A1351=$A$3:$A$2785)*$H$3:$H$2785&gt;H1351))+1</f>
        <v>268</v>
      </c>
    </row>
    <row r="1352" s="1" customFormat="true" customHeight="true" spans="1:10">
      <c r="A1352" s="4" t="str">
        <f t="shared" si="169"/>
        <v>021</v>
      </c>
      <c r="B1352" s="4" t="s">
        <v>33</v>
      </c>
      <c r="C1352" s="4" t="str">
        <f>"刘晓雪"</f>
        <v>刘晓雪</v>
      </c>
      <c r="D1352" s="4" t="str">
        <f>"2021010523"</f>
        <v>2021010523</v>
      </c>
      <c r="E1352" s="4" t="str">
        <f t="shared" si="170"/>
        <v>05</v>
      </c>
      <c r="F1352" s="4" t="str">
        <f>"23"</f>
        <v>23</v>
      </c>
      <c r="G1352" s="4" t="s">
        <v>12</v>
      </c>
      <c r="H1352" s="5">
        <v>0</v>
      </c>
      <c r="I1352" s="6" t="s">
        <v>13</v>
      </c>
      <c r="J1352" s="4">
        <f>SUMPRODUCT(--((A1352=$A$3:$A$2785)*$H$3:$H$2785&gt;H1352))+1</f>
        <v>268</v>
      </c>
    </row>
    <row r="1353" s="1" customFormat="true" customHeight="true" spans="1:10">
      <c r="A1353" s="4" t="str">
        <f t="shared" si="169"/>
        <v>021</v>
      </c>
      <c r="B1353" s="4" t="s">
        <v>33</v>
      </c>
      <c r="C1353" s="4" t="str">
        <f>"倪志华"</f>
        <v>倪志华</v>
      </c>
      <c r="D1353" s="4" t="str">
        <f>"2021010528"</f>
        <v>2021010528</v>
      </c>
      <c r="E1353" s="4" t="str">
        <f t="shared" si="170"/>
        <v>05</v>
      </c>
      <c r="F1353" s="4" t="str">
        <f>"28"</f>
        <v>28</v>
      </c>
      <c r="G1353" s="4" t="s">
        <v>12</v>
      </c>
      <c r="H1353" s="5">
        <v>0</v>
      </c>
      <c r="I1353" s="6" t="s">
        <v>13</v>
      </c>
      <c r="J1353" s="4">
        <f>SUMPRODUCT(--((A1353=$A$3:$A$2785)*$H$3:$H$2785&gt;H1353))+1</f>
        <v>268</v>
      </c>
    </row>
    <row r="1354" s="1" customFormat="true" customHeight="true" spans="1:10">
      <c r="A1354" s="4" t="str">
        <f t="shared" si="169"/>
        <v>021</v>
      </c>
      <c r="B1354" s="4" t="s">
        <v>33</v>
      </c>
      <c r="C1354" s="4" t="str">
        <f>"向容寒"</f>
        <v>向容寒</v>
      </c>
      <c r="D1354" s="4" t="str">
        <f>"2021010529"</f>
        <v>2021010529</v>
      </c>
      <c r="E1354" s="4" t="str">
        <f t="shared" si="170"/>
        <v>05</v>
      </c>
      <c r="F1354" s="4" t="str">
        <f>"29"</f>
        <v>29</v>
      </c>
      <c r="G1354" s="4" t="s">
        <v>12</v>
      </c>
      <c r="H1354" s="5">
        <v>0</v>
      </c>
      <c r="I1354" s="6" t="s">
        <v>13</v>
      </c>
      <c r="J1354" s="4">
        <f>SUMPRODUCT(--((A1354=$A$3:$A$2785)*$H$3:$H$2785&gt;H1354))+1</f>
        <v>268</v>
      </c>
    </row>
    <row r="1355" s="1" customFormat="true" customHeight="true" spans="1:10">
      <c r="A1355" s="4" t="str">
        <f t="shared" si="169"/>
        <v>021</v>
      </c>
      <c r="B1355" s="4" t="s">
        <v>33</v>
      </c>
      <c r="C1355" s="4" t="str">
        <f>"陈丽蓉"</f>
        <v>陈丽蓉</v>
      </c>
      <c r="D1355" s="4" t="str">
        <f>"2021010530"</f>
        <v>2021010530</v>
      </c>
      <c r="E1355" s="4" t="str">
        <f t="shared" si="170"/>
        <v>05</v>
      </c>
      <c r="F1355" s="4" t="str">
        <f>"30"</f>
        <v>30</v>
      </c>
      <c r="G1355" s="4" t="s">
        <v>12</v>
      </c>
      <c r="H1355" s="5">
        <v>0</v>
      </c>
      <c r="I1355" s="6" t="s">
        <v>13</v>
      </c>
      <c r="J1355" s="4">
        <f>SUMPRODUCT(--((A1355=$A$3:$A$2785)*$H$3:$H$2785&gt;H1355))+1</f>
        <v>268</v>
      </c>
    </row>
    <row r="1356" s="1" customFormat="true" customHeight="true" spans="1:10">
      <c r="A1356" s="4" t="str">
        <f t="shared" si="169"/>
        <v>021</v>
      </c>
      <c r="B1356" s="4" t="s">
        <v>33</v>
      </c>
      <c r="C1356" s="4" t="str">
        <f>"吴宣"</f>
        <v>吴宣</v>
      </c>
      <c r="D1356" s="4" t="str">
        <f>"2021010604"</f>
        <v>2021010604</v>
      </c>
      <c r="E1356" s="4" t="str">
        <f t="shared" ref="E1356:E1374" si="171">"06"</f>
        <v>06</v>
      </c>
      <c r="F1356" s="4" t="str">
        <f>"04"</f>
        <v>04</v>
      </c>
      <c r="G1356" s="4" t="s">
        <v>12</v>
      </c>
      <c r="H1356" s="5">
        <v>0</v>
      </c>
      <c r="I1356" s="6" t="s">
        <v>13</v>
      </c>
      <c r="J1356" s="4">
        <f>SUMPRODUCT(--((A1356=$A$3:$A$2785)*$H$3:$H$2785&gt;H1356))+1</f>
        <v>268</v>
      </c>
    </row>
    <row r="1357" s="1" customFormat="true" customHeight="true" spans="1:10">
      <c r="A1357" s="4" t="str">
        <f t="shared" si="169"/>
        <v>021</v>
      </c>
      <c r="B1357" s="4" t="s">
        <v>33</v>
      </c>
      <c r="C1357" s="4" t="str">
        <f>"房文倩"</f>
        <v>房文倩</v>
      </c>
      <c r="D1357" s="4" t="str">
        <f>"2021010607"</f>
        <v>2021010607</v>
      </c>
      <c r="E1357" s="4" t="str">
        <f t="shared" si="171"/>
        <v>06</v>
      </c>
      <c r="F1357" s="4" t="str">
        <f>"07"</f>
        <v>07</v>
      </c>
      <c r="G1357" s="4" t="s">
        <v>12</v>
      </c>
      <c r="H1357" s="5">
        <v>0</v>
      </c>
      <c r="I1357" s="6" t="s">
        <v>13</v>
      </c>
      <c r="J1357" s="4">
        <f>SUMPRODUCT(--((A1357=$A$3:$A$2785)*$H$3:$H$2785&gt;H1357))+1</f>
        <v>268</v>
      </c>
    </row>
    <row r="1358" s="1" customFormat="true" customHeight="true" spans="1:10">
      <c r="A1358" s="4" t="str">
        <f t="shared" si="169"/>
        <v>021</v>
      </c>
      <c r="B1358" s="4" t="s">
        <v>33</v>
      </c>
      <c r="C1358" s="4" t="str">
        <f>"向明慧"</f>
        <v>向明慧</v>
      </c>
      <c r="D1358" s="4" t="str">
        <f>"2021010608"</f>
        <v>2021010608</v>
      </c>
      <c r="E1358" s="4" t="str">
        <f t="shared" si="171"/>
        <v>06</v>
      </c>
      <c r="F1358" s="4" t="str">
        <f>"08"</f>
        <v>08</v>
      </c>
      <c r="G1358" s="4" t="s">
        <v>12</v>
      </c>
      <c r="H1358" s="5">
        <v>0</v>
      </c>
      <c r="I1358" s="6" t="s">
        <v>13</v>
      </c>
      <c r="J1358" s="4">
        <f>SUMPRODUCT(--((A1358=$A$3:$A$2785)*$H$3:$H$2785&gt;H1358))+1</f>
        <v>268</v>
      </c>
    </row>
    <row r="1359" s="1" customFormat="true" customHeight="true" spans="1:10">
      <c r="A1359" s="4" t="str">
        <f t="shared" si="169"/>
        <v>021</v>
      </c>
      <c r="B1359" s="4" t="s">
        <v>33</v>
      </c>
      <c r="C1359" s="4" t="str">
        <f>"龙子吟"</f>
        <v>龙子吟</v>
      </c>
      <c r="D1359" s="4" t="str">
        <f>"2021010609"</f>
        <v>2021010609</v>
      </c>
      <c r="E1359" s="4" t="str">
        <f t="shared" si="171"/>
        <v>06</v>
      </c>
      <c r="F1359" s="4" t="str">
        <f>"09"</f>
        <v>09</v>
      </c>
      <c r="G1359" s="4" t="s">
        <v>12</v>
      </c>
      <c r="H1359" s="5">
        <v>0</v>
      </c>
      <c r="I1359" s="6" t="s">
        <v>13</v>
      </c>
      <c r="J1359" s="4">
        <f>SUMPRODUCT(--((A1359=$A$3:$A$2785)*$H$3:$H$2785&gt;H1359))+1</f>
        <v>268</v>
      </c>
    </row>
    <row r="1360" s="1" customFormat="true" customHeight="true" spans="1:10">
      <c r="A1360" s="4" t="str">
        <f t="shared" si="169"/>
        <v>021</v>
      </c>
      <c r="B1360" s="4" t="s">
        <v>33</v>
      </c>
      <c r="C1360" s="4" t="str">
        <f>"吴慧晨"</f>
        <v>吴慧晨</v>
      </c>
      <c r="D1360" s="4" t="str">
        <f>"2021010610"</f>
        <v>2021010610</v>
      </c>
      <c r="E1360" s="4" t="str">
        <f t="shared" si="171"/>
        <v>06</v>
      </c>
      <c r="F1360" s="4" t="str">
        <f>"10"</f>
        <v>10</v>
      </c>
      <c r="G1360" s="4" t="s">
        <v>12</v>
      </c>
      <c r="H1360" s="5">
        <v>0</v>
      </c>
      <c r="I1360" s="6" t="s">
        <v>13</v>
      </c>
      <c r="J1360" s="4">
        <f>SUMPRODUCT(--((A1360=$A$3:$A$2785)*$H$3:$H$2785&gt;H1360))+1</f>
        <v>268</v>
      </c>
    </row>
    <row r="1361" s="1" customFormat="true" customHeight="true" spans="1:10">
      <c r="A1361" s="4" t="str">
        <f t="shared" si="169"/>
        <v>021</v>
      </c>
      <c r="B1361" s="4" t="s">
        <v>33</v>
      </c>
      <c r="C1361" s="4" t="str">
        <f>"谭梨"</f>
        <v>谭梨</v>
      </c>
      <c r="D1361" s="4" t="str">
        <f>"2021010611"</f>
        <v>2021010611</v>
      </c>
      <c r="E1361" s="4" t="str">
        <f t="shared" si="171"/>
        <v>06</v>
      </c>
      <c r="F1361" s="4" t="str">
        <f>"11"</f>
        <v>11</v>
      </c>
      <c r="G1361" s="4" t="s">
        <v>12</v>
      </c>
      <c r="H1361" s="5">
        <v>0</v>
      </c>
      <c r="I1361" s="6" t="s">
        <v>13</v>
      </c>
      <c r="J1361" s="4">
        <f>SUMPRODUCT(--((A1361=$A$3:$A$2785)*$H$3:$H$2785&gt;H1361))+1</f>
        <v>268</v>
      </c>
    </row>
    <row r="1362" s="1" customFormat="true" customHeight="true" spans="1:10">
      <c r="A1362" s="4" t="str">
        <f t="shared" si="169"/>
        <v>021</v>
      </c>
      <c r="B1362" s="4" t="s">
        <v>33</v>
      </c>
      <c r="C1362" s="4" t="str">
        <f>"谌奕婷"</f>
        <v>谌奕婷</v>
      </c>
      <c r="D1362" s="4" t="str">
        <f>"2021010612"</f>
        <v>2021010612</v>
      </c>
      <c r="E1362" s="4" t="str">
        <f t="shared" si="171"/>
        <v>06</v>
      </c>
      <c r="F1362" s="4" t="str">
        <f>"12"</f>
        <v>12</v>
      </c>
      <c r="G1362" s="4" t="s">
        <v>12</v>
      </c>
      <c r="H1362" s="5">
        <v>0</v>
      </c>
      <c r="I1362" s="6" t="s">
        <v>13</v>
      </c>
      <c r="J1362" s="4">
        <f>SUMPRODUCT(--((A1362=$A$3:$A$2785)*$H$3:$H$2785&gt;H1362))+1</f>
        <v>268</v>
      </c>
    </row>
    <row r="1363" s="1" customFormat="true" customHeight="true" spans="1:10">
      <c r="A1363" s="4" t="str">
        <f t="shared" si="169"/>
        <v>021</v>
      </c>
      <c r="B1363" s="4" t="s">
        <v>33</v>
      </c>
      <c r="C1363" s="4" t="str">
        <f>"潘悦"</f>
        <v>潘悦</v>
      </c>
      <c r="D1363" s="4" t="str">
        <f>"2021010613"</f>
        <v>2021010613</v>
      </c>
      <c r="E1363" s="4" t="str">
        <f t="shared" si="171"/>
        <v>06</v>
      </c>
      <c r="F1363" s="4" t="str">
        <f>"13"</f>
        <v>13</v>
      </c>
      <c r="G1363" s="4" t="s">
        <v>12</v>
      </c>
      <c r="H1363" s="5">
        <v>0</v>
      </c>
      <c r="I1363" s="6" t="s">
        <v>13</v>
      </c>
      <c r="J1363" s="4">
        <f>SUMPRODUCT(--((A1363=$A$3:$A$2785)*$H$3:$H$2785&gt;H1363))+1</f>
        <v>268</v>
      </c>
    </row>
    <row r="1364" s="1" customFormat="true" customHeight="true" spans="1:10">
      <c r="A1364" s="4" t="str">
        <f t="shared" si="169"/>
        <v>021</v>
      </c>
      <c r="B1364" s="4" t="s">
        <v>33</v>
      </c>
      <c r="C1364" s="4" t="str">
        <f>"蒲书琴"</f>
        <v>蒲书琴</v>
      </c>
      <c r="D1364" s="4" t="str">
        <f>"2021010614"</f>
        <v>2021010614</v>
      </c>
      <c r="E1364" s="4" t="str">
        <f t="shared" si="171"/>
        <v>06</v>
      </c>
      <c r="F1364" s="4" t="str">
        <f>"14"</f>
        <v>14</v>
      </c>
      <c r="G1364" s="4" t="s">
        <v>12</v>
      </c>
      <c r="H1364" s="5">
        <v>0</v>
      </c>
      <c r="I1364" s="6" t="s">
        <v>13</v>
      </c>
      <c r="J1364" s="4">
        <f>SUMPRODUCT(--((A1364=$A$3:$A$2785)*$H$3:$H$2785&gt;H1364))+1</f>
        <v>268</v>
      </c>
    </row>
    <row r="1365" s="1" customFormat="true" customHeight="true" spans="1:10">
      <c r="A1365" s="4" t="str">
        <f t="shared" si="169"/>
        <v>021</v>
      </c>
      <c r="B1365" s="4" t="s">
        <v>33</v>
      </c>
      <c r="C1365" s="4" t="str">
        <f>"黄青"</f>
        <v>黄青</v>
      </c>
      <c r="D1365" s="4" t="str">
        <f>"2021010615"</f>
        <v>2021010615</v>
      </c>
      <c r="E1365" s="4" t="str">
        <f t="shared" si="171"/>
        <v>06</v>
      </c>
      <c r="F1365" s="4" t="str">
        <f>"15"</f>
        <v>15</v>
      </c>
      <c r="G1365" s="4" t="s">
        <v>12</v>
      </c>
      <c r="H1365" s="5">
        <v>0</v>
      </c>
      <c r="I1365" s="6" t="s">
        <v>13</v>
      </c>
      <c r="J1365" s="4">
        <f>SUMPRODUCT(--((A1365=$A$3:$A$2785)*$H$3:$H$2785&gt;H1365))+1</f>
        <v>268</v>
      </c>
    </row>
    <row r="1366" s="1" customFormat="true" customHeight="true" spans="1:10">
      <c r="A1366" s="4" t="str">
        <f t="shared" si="169"/>
        <v>021</v>
      </c>
      <c r="B1366" s="4" t="s">
        <v>33</v>
      </c>
      <c r="C1366" s="4" t="str">
        <f>"陈燕丽"</f>
        <v>陈燕丽</v>
      </c>
      <c r="D1366" s="4" t="str">
        <f>"2021010616"</f>
        <v>2021010616</v>
      </c>
      <c r="E1366" s="4" t="str">
        <f t="shared" si="171"/>
        <v>06</v>
      </c>
      <c r="F1366" s="4" t="str">
        <f>"16"</f>
        <v>16</v>
      </c>
      <c r="G1366" s="4" t="s">
        <v>12</v>
      </c>
      <c r="H1366" s="5">
        <v>0</v>
      </c>
      <c r="I1366" s="6" t="s">
        <v>13</v>
      </c>
      <c r="J1366" s="4">
        <f>SUMPRODUCT(--((A1366=$A$3:$A$2785)*$H$3:$H$2785&gt;H1366))+1</f>
        <v>268</v>
      </c>
    </row>
    <row r="1367" s="1" customFormat="true" customHeight="true" spans="1:10">
      <c r="A1367" s="4" t="str">
        <f t="shared" si="169"/>
        <v>021</v>
      </c>
      <c r="B1367" s="4" t="s">
        <v>33</v>
      </c>
      <c r="C1367" s="4" t="str">
        <f>"谢俊琳"</f>
        <v>谢俊琳</v>
      </c>
      <c r="D1367" s="4" t="str">
        <f>"2021010617"</f>
        <v>2021010617</v>
      </c>
      <c r="E1367" s="4" t="str">
        <f t="shared" si="171"/>
        <v>06</v>
      </c>
      <c r="F1367" s="4" t="str">
        <f>"17"</f>
        <v>17</v>
      </c>
      <c r="G1367" s="4" t="s">
        <v>12</v>
      </c>
      <c r="H1367" s="5">
        <v>0</v>
      </c>
      <c r="I1367" s="6" t="s">
        <v>13</v>
      </c>
      <c r="J1367" s="4">
        <f>SUMPRODUCT(--((A1367=$A$3:$A$2785)*$H$3:$H$2785&gt;H1367))+1</f>
        <v>268</v>
      </c>
    </row>
    <row r="1368" s="1" customFormat="true" customHeight="true" spans="1:10">
      <c r="A1368" s="4" t="str">
        <f t="shared" si="169"/>
        <v>021</v>
      </c>
      <c r="B1368" s="4" t="s">
        <v>33</v>
      </c>
      <c r="C1368" s="4" t="str">
        <f>"向容容"</f>
        <v>向容容</v>
      </c>
      <c r="D1368" s="4" t="str">
        <f>"2021010621"</f>
        <v>2021010621</v>
      </c>
      <c r="E1368" s="4" t="str">
        <f t="shared" si="171"/>
        <v>06</v>
      </c>
      <c r="F1368" s="4" t="str">
        <f>"21"</f>
        <v>21</v>
      </c>
      <c r="G1368" s="4" t="s">
        <v>12</v>
      </c>
      <c r="H1368" s="5">
        <v>0</v>
      </c>
      <c r="I1368" s="6" t="s">
        <v>13</v>
      </c>
      <c r="J1368" s="4">
        <f>SUMPRODUCT(--((A1368=$A$3:$A$2785)*$H$3:$H$2785&gt;H1368))+1</f>
        <v>268</v>
      </c>
    </row>
    <row r="1369" s="1" customFormat="true" customHeight="true" spans="1:10">
      <c r="A1369" s="4" t="str">
        <f t="shared" si="169"/>
        <v>021</v>
      </c>
      <c r="B1369" s="4" t="s">
        <v>33</v>
      </c>
      <c r="C1369" s="4" t="str">
        <f>"杨秋霞"</f>
        <v>杨秋霞</v>
      </c>
      <c r="D1369" s="4" t="str">
        <f>"2021010622"</f>
        <v>2021010622</v>
      </c>
      <c r="E1369" s="4" t="str">
        <f t="shared" si="171"/>
        <v>06</v>
      </c>
      <c r="F1369" s="4" t="str">
        <f>"22"</f>
        <v>22</v>
      </c>
      <c r="G1369" s="4" t="s">
        <v>12</v>
      </c>
      <c r="H1369" s="5">
        <v>0</v>
      </c>
      <c r="I1369" s="6" t="s">
        <v>13</v>
      </c>
      <c r="J1369" s="4">
        <f>SUMPRODUCT(--((A1369=$A$3:$A$2785)*$H$3:$H$2785&gt;H1369))+1</f>
        <v>268</v>
      </c>
    </row>
    <row r="1370" s="1" customFormat="true" customHeight="true" spans="1:10">
      <c r="A1370" s="4" t="str">
        <f t="shared" si="169"/>
        <v>021</v>
      </c>
      <c r="B1370" s="4" t="s">
        <v>33</v>
      </c>
      <c r="C1370" s="4" t="str">
        <f>"谭晓玲"</f>
        <v>谭晓玲</v>
      </c>
      <c r="D1370" s="4" t="str">
        <f>"2021010623"</f>
        <v>2021010623</v>
      </c>
      <c r="E1370" s="4" t="str">
        <f t="shared" si="171"/>
        <v>06</v>
      </c>
      <c r="F1370" s="4" t="str">
        <f>"23"</f>
        <v>23</v>
      </c>
      <c r="G1370" s="4" t="s">
        <v>12</v>
      </c>
      <c r="H1370" s="5">
        <v>0</v>
      </c>
      <c r="I1370" s="6" t="s">
        <v>13</v>
      </c>
      <c r="J1370" s="4">
        <f>SUMPRODUCT(--((A1370=$A$3:$A$2785)*$H$3:$H$2785&gt;H1370))+1</f>
        <v>268</v>
      </c>
    </row>
    <row r="1371" s="1" customFormat="true" customHeight="true" spans="1:10">
      <c r="A1371" s="4" t="str">
        <f t="shared" si="169"/>
        <v>021</v>
      </c>
      <c r="B1371" s="4" t="s">
        <v>33</v>
      </c>
      <c r="C1371" s="4" t="str">
        <f>"武秋延"</f>
        <v>武秋延</v>
      </c>
      <c r="D1371" s="4" t="str">
        <f>"2021010625"</f>
        <v>2021010625</v>
      </c>
      <c r="E1371" s="4" t="str">
        <f t="shared" si="171"/>
        <v>06</v>
      </c>
      <c r="F1371" s="4" t="str">
        <f>"25"</f>
        <v>25</v>
      </c>
      <c r="G1371" s="4" t="s">
        <v>12</v>
      </c>
      <c r="H1371" s="5">
        <v>0</v>
      </c>
      <c r="I1371" s="6" t="s">
        <v>13</v>
      </c>
      <c r="J1371" s="4">
        <f>SUMPRODUCT(--((A1371=$A$3:$A$2785)*$H$3:$H$2785&gt;H1371))+1</f>
        <v>268</v>
      </c>
    </row>
    <row r="1372" s="1" customFormat="true" customHeight="true" spans="1:10">
      <c r="A1372" s="4" t="str">
        <f t="shared" si="169"/>
        <v>021</v>
      </c>
      <c r="B1372" s="4" t="s">
        <v>33</v>
      </c>
      <c r="C1372" s="4" t="str">
        <f>"蒋剑"</f>
        <v>蒋剑</v>
      </c>
      <c r="D1372" s="4" t="str">
        <f>"2021010626"</f>
        <v>2021010626</v>
      </c>
      <c r="E1372" s="4" t="str">
        <f t="shared" si="171"/>
        <v>06</v>
      </c>
      <c r="F1372" s="4" t="str">
        <f>"26"</f>
        <v>26</v>
      </c>
      <c r="G1372" s="4" t="s">
        <v>12</v>
      </c>
      <c r="H1372" s="5">
        <v>0</v>
      </c>
      <c r="I1372" s="6" t="s">
        <v>13</v>
      </c>
      <c r="J1372" s="4">
        <f>SUMPRODUCT(--((A1372=$A$3:$A$2785)*$H$3:$H$2785&gt;H1372))+1</f>
        <v>268</v>
      </c>
    </row>
    <row r="1373" s="1" customFormat="true" customHeight="true" spans="1:10">
      <c r="A1373" s="4" t="str">
        <f t="shared" si="169"/>
        <v>021</v>
      </c>
      <c r="B1373" s="4" t="s">
        <v>33</v>
      </c>
      <c r="C1373" s="4" t="str">
        <f>"李欣如"</f>
        <v>李欣如</v>
      </c>
      <c r="D1373" s="4" t="str">
        <f>"2021010627"</f>
        <v>2021010627</v>
      </c>
      <c r="E1373" s="4" t="str">
        <f t="shared" si="171"/>
        <v>06</v>
      </c>
      <c r="F1373" s="4" t="str">
        <f>"27"</f>
        <v>27</v>
      </c>
      <c r="G1373" s="4" t="s">
        <v>12</v>
      </c>
      <c r="H1373" s="5">
        <v>0</v>
      </c>
      <c r="I1373" s="6" t="s">
        <v>13</v>
      </c>
      <c r="J1373" s="4">
        <f>SUMPRODUCT(--((A1373=$A$3:$A$2785)*$H$3:$H$2785&gt;H1373))+1</f>
        <v>268</v>
      </c>
    </row>
    <row r="1374" s="1" customFormat="true" customHeight="true" spans="1:10">
      <c r="A1374" s="4" t="str">
        <f t="shared" si="169"/>
        <v>021</v>
      </c>
      <c r="B1374" s="4" t="s">
        <v>33</v>
      </c>
      <c r="C1374" s="4" t="str">
        <f>"范海艳"</f>
        <v>范海艳</v>
      </c>
      <c r="D1374" s="4" t="str">
        <f>"2021010629"</f>
        <v>2021010629</v>
      </c>
      <c r="E1374" s="4" t="str">
        <f t="shared" si="171"/>
        <v>06</v>
      </c>
      <c r="F1374" s="4" t="str">
        <f>"29"</f>
        <v>29</v>
      </c>
      <c r="G1374" s="4" t="s">
        <v>12</v>
      </c>
      <c r="H1374" s="5">
        <v>0</v>
      </c>
      <c r="I1374" s="6" t="s">
        <v>13</v>
      </c>
      <c r="J1374" s="4">
        <f>SUMPRODUCT(--((A1374=$A$3:$A$2785)*$H$3:$H$2785&gt;H1374))+1</f>
        <v>268</v>
      </c>
    </row>
    <row r="1375" s="1" customFormat="true" customHeight="true" spans="1:10">
      <c r="A1375" s="4" t="str">
        <f t="shared" si="169"/>
        <v>021</v>
      </c>
      <c r="B1375" s="4" t="s">
        <v>33</v>
      </c>
      <c r="C1375" s="4" t="str">
        <f>"葛陈红"</f>
        <v>葛陈红</v>
      </c>
      <c r="D1375" s="4" t="str">
        <f>"2021010702"</f>
        <v>2021010702</v>
      </c>
      <c r="E1375" s="4" t="str">
        <f t="shared" ref="E1375:E1389" si="172">"07"</f>
        <v>07</v>
      </c>
      <c r="F1375" s="4" t="str">
        <f>"02"</f>
        <v>02</v>
      </c>
      <c r="G1375" s="4" t="s">
        <v>12</v>
      </c>
      <c r="H1375" s="5">
        <v>0</v>
      </c>
      <c r="I1375" s="6" t="s">
        <v>13</v>
      </c>
      <c r="J1375" s="4">
        <f>SUMPRODUCT(--((A1375=$A$3:$A$2785)*$H$3:$H$2785&gt;H1375))+1</f>
        <v>268</v>
      </c>
    </row>
    <row r="1376" s="1" customFormat="true" customHeight="true" spans="1:10">
      <c r="A1376" s="4" t="str">
        <f t="shared" si="169"/>
        <v>021</v>
      </c>
      <c r="B1376" s="4" t="s">
        <v>33</v>
      </c>
      <c r="C1376" s="4" t="str">
        <f>"王圆圆"</f>
        <v>王圆圆</v>
      </c>
      <c r="D1376" s="4" t="str">
        <f>"2021010703"</f>
        <v>2021010703</v>
      </c>
      <c r="E1376" s="4" t="str">
        <f t="shared" si="172"/>
        <v>07</v>
      </c>
      <c r="F1376" s="4" t="str">
        <f>"03"</f>
        <v>03</v>
      </c>
      <c r="G1376" s="4" t="s">
        <v>12</v>
      </c>
      <c r="H1376" s="5">
        <v>0</v>
      </c>
      <c r="I1376" s="6" t="s">
        <v>13</v>
      </c>
      <c r="J1376" s="4">
        <f>SUMPRODUCT(--((A1376=$A$3:$A$2785)*$H$3:$H$2785&gt;H1376))+1</f>
        <v>268</v>
      </c>
    </row>
    <row r="1377" s="1" customFormat="true" customHeight="true" spans="1:10">
      <c r="A1377" s="4" t="str">
        <f t="shared" si="169"/>
        <v>021</v>
      </c>
      <c r="B1377" s="4" t="s">
        <v>33</v>
      </c>
      <c r="C1377" s="4" t="str">
        <f>"向湘林"</f>
        <v>向湘林</v>
      </c>
      <c r="D1377" s="4" t="str">
        <f>"2021010704"</f>
        <v>2021010704</v>
      </c>
      <c r="E1377" s="4" t="str">
        <f t="shared" si="172"/>
        <v>07</v>
      </c>
      <c r="F1377" s="4" t="str">
        <f>"04"</f>
        <v>04</v>
      </c>
      <c r="G1377" s="4" t="s">
        <v>12</v>
      </c>
      <c r="H1377" s="5">
        <v>0</v>
      </c>
      <c r="I1377" s="6" t="s">
        <v>13</v>
      </c>
      <c r="J1377" s="4">
        <f>SUMPRODUCT(--((A1377=$A$3:$A$2785)*$H$3:$H$2785&gt;H1377))+1</f>
        <v>268</v>
      </c>
    </row>
    <row r="1378" s="1" customFormat="true" customHeight="true" spans="1:10">
      <c r="A1378" s="4" t="str">
        <f t="shared" si="169"/>
        <v>021</v>
      </c>
      <c r="B1378" s="4" t="s">
        <v>33</v>
      </c>
      <c r="C1378" s="4" t="str">
        <f>"滕燕"</f>
        <v>滕燕</v>
      </c>
      <c r="D1378" s="4" t="str">
        <f>"2021010706"</f>
        <v>2021010706</v>
      </c>
      <c r="E1378" s="4" t="str">
        <f t="shared" si="172"/>
        <v>07</v>
      </c>
      <c r="F1378" s="4" t="str">
        <f>"06"</f>
        <v>06</v>
      </c>
      <c r="G1378" s="4" t="s">
        <v>12</v>
      </c>
      <c r="H1378" s="5">
        <v>0</v>
      </c>
      <c r="I1378" s="6" t="s">
        <v>13</v>
      </c>
      <c r="J1378" s="4">
        <f>SUMPRODUCT(--((A1378=$A$3:$A$2785)*$H$3:$H$2785&gt;H1378))+1</f>
        <v>268</v>
      </c>
    </row>
    <row r="1379" s="1" customFormat="true" customHeight="true" spans="1:10">
      <c r="A1379" s="4" t="str">
        <f t="shared" si="169"/>
        <v>021</v>
      </c>
      <c r="B1379" s="4" t="s">
        <v>33</v>
      </c>
      <c r="C1379" s="4" t="str">
        <f>"谢恩"</f>
        <v>谢恩</v>
      </c>
      <c r="D1379" s="4" t="str">
        <f>"2021010707"</f>
        <v>2021010707</v>
      </c>
      <c r="E1379" s="4" t="str">
        <f t="shared" si="172"/>
        <v>07</v>
      </c>
      <c r="F1379" s="4" t="str">
        <f>"07"</f>
        <v>07</v>
      </c>
      <c r="G1379" s="4" t="s">
        <v>12</v>
      </c>
      <c r="H1379" s="5">
        <v>0</v>
      </c>
      <c r="I1379" s="6" t="s">
        <v>13</v>
      </c>
      <c r="J1379" s="4">
        <f>SUMPRODUCT(--((A1379=$A$3:$A$2785)*$H$3:$H$2785&gt;H1379))+1</f>
        <v>268</v>
      </c>
    </row>
    <row r="1380" s="1" customFormat="true" customHeight="true" spans="1:10">
      <c r="A1380" s="4" t="str">
        <f t="shared" si="169"/>
        <v>021</v>
      </c>
      <c r="B1380" s="4" t="s">
        <v>33</v>
      </c>
      <c r="C1380" s="4" t="str">
        <f>"李丹"</f>
        <v>李丹</v>
      </c>
      <c r="D1380" s="4" t="str">
        <f>"2021010708"</f>
        <v>2021010708</v>
      </c>
      <c r="E1380" s="4" t="str">
        <f t="shared" si="172"/>
        <v>07</v>
      </c>
      <c r="F1380" s="4" t="str">
        <f>"08"</f>
        <v>08</v>
      </c>
      <c r="G1380" s="4" t="s">
        <v>12</v>
      </c>
      <c r="H1380" s="5">
        <v>0</v>
      </c>
      <c r="I1380" s="6" t="s">
        <v>13</v>
      </c>
      <c r="J1380" s="4">
        <f>SUMPRODUCT(--((A1380=$A$3:$A$2785)*$H$3:$H$2785&gt;H1380))+1</f>
        <v>268</v>
      </c>
    </row>
    <row r="1381" s="1" customFormat="true" customHeight="true" spans="1:10">
      <c r="A1381" s="4" t="str">
        <f t="shared" si="169"/>
        <v>021</v>
      </c>
      <c r="B1381" s="4" t="s">
        <v>33</v>
      </c>
      <c r="C1381" s="4" t="str">
        <f>"毕湘"</f>
        <v>毕湘</v>
      </c>
      <c r="D1381" s="4" t="str">
        <f>"2021010712"</f>
        <v>2021010712</v>
      </c>
      <c r="E1381" s="4" t="str">
        <f t="shared" si="172"/>
        <v>07</v>
      </c>
      <c r="F1381" s="4" t="str">
        <f>"12"</f>
        <v>12</v>
      </c>
      <c r="G1381" s="4" t="s">
        <v>12</v>
      </c>
      <c r="H1381" s="5">
        <v>0</v>
      </c>
      <c r="I1381" s="6" t="s">
        <v>13</v>
      </c>
      <c r="J1381" s="4">
        <f>SUMPRODUCT(--((A1381=$A$3:$A$2785)*$H$3:$H$2785&gt;H1381))+1</f>
        <v>268</v>
      </c>
    </row>
    <row r="1382" s="1" customFormat="true" customHeight="true" spans="1:10">
      <c r="A1382" s="4" t="str">
        <f t="shared" si="169"/>
        <v>021</v>
      </c>
      <c r="B1382" s="4" t="s">
        <v>33</v>
      </c>
      <c r="C1382" s="4" t="str">
        <f>"向美玲"</f>
        <v>向美玲</v>
      </c>
      <c r="D1382" s="4" t="str">
        <f>"2021010717"</f>
        <v>2021010717</v>
      </c>
      <c r="E1382" s="4" t="str">
        <f t="shared" si="172"/>
        <v>07</v>
      </c>
      <c r="F1382" s="4" t="str">
        <f>"17"</f>
        <v>17</v>
      </c>
      <c r="G1382" s="4" t="s">
        <v>12</v>
      </c>
      <c r="H1382" s="5">
        <v>0</v>
      </c>
      <c r="I1382" s="6" t="s">
        <v>13</v>
      </c>
      <c r="J1382" s="4">
        <f>SUMPRODUCT(--((A1382=$A$3:$A$2785)*$H$3:$H$2785&gt;H1382))+1</f>
        <v>268</v>
      </c>
    </row>
    <row r="1383" s="1" customFormat="true" customHeight="true" spans="1:10">
      <c r="A1383" s="4" t="str">
        <f t="shared" si="169"/>
        <v>021</v>
      </c>
      <c r="B1383" s="4" t="s">
        <v>33</v>
      </c>
      <c r="C1383" s="4" t="str">
        <f>"禹兰兰"</f>
        <v>禹兰兰</v>
      </c>
      <c r="D1383" s="4" t="str">
        <f>"2021010718"</f>
        <v>2021010718</v>
      </c>
      <c r="E1383" s="4" t="str">
        <f t="shared" si="172"/>
        <v>07</v>
      </c>
      <c r="F1383" s="4" t="str">
        <f>"18"</f>
        <v>18</v>
      </c>
      <c r="G1383" s="4" t="s">
        <v>12</v>
      </c>
      <c r="H1383" s="5">
        <v>0</v>
      </c>
      <c r="I1383" s="6" t="s">
        <v>13</v>
      </c>
      <c r="J1383" s="4">
        <f>SUMPRODUCT(--((A1383=$A$3:$A$2785)*$H$3:$H$2785&gt;H1383))+1</f>
        <v>268</v>
      </c>
    </row>
    <row r="1384" s="1" customFormat="true" customHeight="true" spans="1:10">
      <c r="A1384" s="4" t="str">
        <f t="shared" si="169"/>
        <v>021</v>
      </c>
      <c r="B1384" s="4" t="s">
        <v>33</v>
      </c>
      <c r="C1384" s="4" t="str">
        <f>"周迪文"</f>
        <v>周迪文</v>
      </c>
      <c r="D1384" s="4" t="str">
        <f>"2021010722"</f>
        <v>2021010722</v>
      </c>
      <c r="E1384" s="4" t="str">
        <f t="shared" si="172"/>
        <v>07</v>
      </c>
      <c r="F1384" s="4" t="str">
        <f>"22"</f>
        <v>22</v>
      </c>
      <c r="G1384" s="4" t="s">
        <v>12</v>
      </c>
      <c r="H1384" s="5">
        <v>0</v>
      </c>
      <c r="I1384" s="6" t="s">
        <v>13</v>
      </c>
      <c r="J1384" s="4">
        <f>SUMPRODUCT(--((A1384=$A$3:$A$2785)*$H$3:$H$2785&gt;H1384))+1</f>
        <v>268</v>
      </c>
    </row>
    <row r="1385" s="1" customFormat="true" customHeight="true" spans="1:10">
      <c r="A1385" s="4" t="str">
        <f t="shared" si="169"/>
        <v>021</v>
      </c>
      <c r="B1385" s="4" t="s">
        <v>33</v>
      </c>
      <c r="C1385" s="4" t="str">
        <f>"章吉珍"</f>
        <v>章吉珍</v>
      </c>
      <c r="D1385" s="4" t="str">
        <f>"2021010726"</f>
        <v>2021010726</v>
      </c>
      <c r="E1385" s="4" t="str">
        <f t="shared" si="172"/>
        <v>07</v>
      </c>
      <c r="F1385" s="4" t="str">
        <f>"26"</f>
        <v>26</v>
      </c>
      <c r="G1385" s="4" t="s">
        <v>12</v>
      </c>
      <c r="H1385" s="5">
        <v>0</v>
      </c>
      <c r="I1385" s="6" t="s">
        <v>13</v>
      </c>
      <c r="J1385" s="4">
        <f>SUMPRODUCT(--((A1385=$A$3:$A$2785)*$H$3:$H$2785&gt;H1385))+1</f>
        <v>268</v>
      </c>
    </row>
    <row r="1386" s="1" customFormat="true" customHeight="true" spans="1:10">
      <c r="A1386" s="4" t="str">
        <f t="shared" si="169"/>
        <v>021</v>
      </c>
      <c r="B1386" s="4" t="s">
        <v>33</v>
      </c>
      <c r="C1386" s="4" t="str">
        <f>"吴秋铖"</f>
        <v>吴秋铖</v>
      </c>
      <c r="D1386" s="4" t="str">
        <f>"2021010727"</f>
        <v>2021010727</v>
      </c>
      <c r="E1386" s="4" t="str">
        <f t="shared" si="172"/>
        <v>07</v>
      </c>
      <c r="F1386" s="4" t="str">
        <f>"27"</f>
        <v>27</v>
      </c>
      <c r="G1386" s="4" t="s">
        <v>12</v>
      </c>
      <c r="H1386" s="5">
        <v>0</v>
      </c>
      <c r="I1386" s="6" t="s">
        <v>13</v>
      </c>
      <c r="J1386" s="4">
        <f>SUMPRODUCT(--((A1386=$A$3:$A$2785)*$H$3:$H$2785&gt;H1386))+1</f>
        <v>268</v>
      </c>
    </row>
    <row r="1387" s="1" customFormat="true" customHeight="true" spans="1:10">
      <c r="A1387" s="4" t="str">
        <f t="shared" si="169"/>
        <v>021</v>
      </c>
      <c r="B1387" s="4" t="s">
        <v>33</v>
      </c>
      <c r="C1387" s="4" t="str">
        <f>"龙清逸"</f>
        <v>龙清逸</v>
      </c>
      <c r="D1387" s="4" t="str">
        <f>"2021010728"</f>
        <v>2021010728</v>
      </c>
      <c r="E1387" s="4" t="str">
        <f t="shared" si="172"/>
        <v>07</v>
      </c>
      <c r="F1387" s="4" t="str">
        <f>"28"</f>
        <v>28</v>
      </c>
      <c r="G1387" s="4" t="s">
        <v>12</v>
      </c>
      <c r="H1387" s="5">
        <v>0</v>
      </c>
      <c r="I1387" s="6" t="s">
        <v>13</v>
      </c>
      <c r="J1387" s="4">
        <f>SUMPRODUCT(--((A1387=$A$3:$A$2785)*$H$3:$H$2785&gt;H1387))+1</f>
        <v>268</v>
      </c>
    </row>
    <row r="1388" s="1" customFormat="true" customHeight="true" spans="1:10">
      <c r="A1388" s="4" t="str">
        <f t="shared" si="169"/>
        <v>021</v>
      </c>
      <c r="B1388" s="4" t="s">
        <v>33</v>
      </c>
      <c r="C1388" s="4" t="str">
        <f>"曾雅林"</f>
        <v>曾雅林</v>
      </c>
      <c r="D1388" s="4" t="str">
        <f>"2021010729"</f>
        <v>2021010729</v>
      </c>
      <c r="E1388" s="4" t="str">
        <f t="shared" si="172"/>
        <v>07</v>
      </c>
      <c r="F1388" s="4" t="str">
        <f>"29"</f>
        <v>29</v>
      </c>
      <c r="G1388" s="4" t="s">
        <v>12</v>
      </c>
      <c r="H1388" s="5">
        <v>0</v>
      </c>
      <c r="I1388" s="6" t="s">
        <v>13</v>
      </c>
      <c r="J1388" s="4">
        <f>SUMPRODUCT(--((A1388=$A$3:$A$2785)*$H$3:$H$2785&gt;H1388))+1</f>
        <v>268</v>
      </c>
    </row>
    <row r="1389" s="1" customFormat="true" customHeight="true" spans="1:10">
      <c r="A1389" s="4" t="str">
        <f t="shared" si="169"/>
        <v>021</v>
      </c>
      <c r="B1389" s="4" t="s">
        <v>33</v>
      </c>
      <c r="C1389" s="4" t="str">
        <f>"李刘钰彦"</f>
        <v>李刘钰彦</v>
      </c>
      <c r="D1389" s="4" t="str">
        <f>"2021010730"</f>
        <v>2021010730</v>
      </c>
      <c r="E1389" s="4" t="str">
        <f t="shared" si="172"/>
        <v>07</v>
      </c>
      <c r="F1389" s="4" t="str">
        <f>"30"</f>
        <v>30</v>
      </c>
      <c r="G1389" s="4" t="s">
        <v>12</v>
      </c>
      <c r="H1389" s="5">
        <v>0</v>
      </c>
      <c r="I1389" s="6" t="s">
        <v>13</v>
      </c>
      <c r="J1389" s="4">
        <f>SUMPRODUCT(--((A1389=$A$3:$A$2785)*$H$3:$H$2785&gt;H1389))+1</f>
        <v>268</v>
      </c>
    </row>
    <row r="1390" s="1" customFormat="true" customHeight="true" spans="1:10">
      <c r="A1390" s="4" t="str">
        <f t="shared" si="169"/>
        <v>021</v>
      </c>
      <c r="B1390" s="4" t="s">
        <v>33</v>
      </c>
      <c r="C1390" s="4" t="str">
        <f>"秦紫怡"</f>
        <v>秦紫怡</v>
      </c>
      <c r="D1390" s="4" t="str">
        <f>"2021010805"</f>
        <v>2021010805</v>
      </c>
      <c r="E1390" s="4" t="str">
        <f t="shared" ref="E1390:E1400" si="173">"08"</f>
        <v>08</v>
      </c>
      <c r="F1390" s="4" t="str">
        <f>"05"</f>
        <v>05</v>
      </c>
      <c r="G1390" s="4" t="s">
        <v>12</v>
      </c>
      <c r="H1390" s="5">
        <v>0</v>
      </c>
      <c r="I1390" s="6" t="s">
        <v>13</v>
      </c>
      <c r="J1390" s="4">
        <f>SUMPRODUCT(--((A1390=$A$3:$A$2785)*$H$3:$H$2785&gt;H1390))+1</f>
        <v>268</v>
      </c>
    </row>
    <row r="1391" s="1" customFormat="true" customHeight="true" spans="1:10">
      <c r="A1391" s="4" t="str">
        <f t="shared" si="169"/>
        <v>021</v>
      </c>
      <c r="B1391" s="4" t="s">
        <v>33</v>
      </c>
      <c r="C1391" s="4" t="str">
        <f>"李思思"</f>
        <v>李思思</v>
      </c>
      <c r="D1391" s="4" t="str">
        <f>"2021010806"</f>
        <v>2021010806</v>
      </c>
      <c r="E1391" s="4" t="str">
        <f t="shared" si="173"/>
        <v>08</v>
      </c>
      <c r="F1391" s="4" t="str">
        <f>"06"</f>
        <v>06</v>
      </c>
      <c r="G1391" s="4" t="s">
        <v>12</v>
      </c>
      <c r="H1391" s="5">
        <v>0</v>
      </c>
      <c r="I1391" s="6" t="s">
        <v>13</v>
      </c>
      <c r="J1391" s="4">
        <f>SUMPRODUCT(--((A1391=$A$3:$A$2785)*$H$3:$H$2785&gt;H1391))+1</f>
        <v>268</v>
      </c>
    </row>
    <row r="1392" s="1" customFormat="true" customHeight="true" spans="1:10">
      <c r="A1392" s="4" t="str">
        <f t="shared" si="169"/>
        <v>021</v>
      </c>
      <c r="B1392" s="4" t="s">
        <v>33</v>
      </c>
      <c r="C1392" s="4" t="str">
        <f>"邓近芳"</f>
        <v>邓近芳</v>
      </c>
      <c r="D1392" s="4" t="str">
        <f>"2021010808"</f>
        <v>2021010808</v>
      </c>
      <c r="E1392" s="4" t="str">
        <f t="shared" si="173"/>
        <v>08</v>
      </c>
      <c r="F1392" s="4" t="str">
        <f>"08"</f>
        <v>08</v>
      </c>
      <c r="G1392" s="4" t="s">
        <v>12</v>
      </c>
      <c r="H1392" s="5">
        <v>0</v>
      </c>
      <c r="I1392" s="6" t="s">
        <v>13</v>
      </c>
      <c r="J1392" s="4">
        <f>SUMPRODUCT(--((A1392=$A$3:$A$2785)*$H$3:$H$2785&gt;H1392))+1</f>
        <v>268</v>
      </c>
    </row>
    <row r="1393" s="1" customFormat="true" customHeight="true" spans="1:10">
      <c r="A1393" s="4" t="str">
        <f t="shared" si="169"/>
        <v>021</v>
      </c>
      <c r="B1393" s="4" t="s">
        <v>33</v>
      </c>
      <c r="C1393" s="4" t="str">
        <f>"彭乙人"</f>
        <v>彭乙人</v>
      </c>
      <c r="D1393" s="4" t="str">
        <f>"2021010811"</f>
        <v>2021010811</v>
      </c>
      <c r="E1393" s="4" t="str">
        <f t="shared" si="173"/>
        <v>08</v>
      </c>
      <c r="F1393" s="4" t="str">
        <f>"11"</f>
        <v>11</v>
      </c>
      <c r="G1393" s="4" t="s">
        <v>12</v>
      </c>
      <c r="H1393" s="5">
        <v>0</v>
      </c>
      <c r="I1393" s="6" t="s">
        <v>13</v>
      </c>
      <c r="J1393" s="4">
        <f>SUMPRODUCT(--((A1393=$A$3:$A$2785)*$H$3:$H$2785&gt;H1393))+1</f>
        <v>268</v>
      </c>
    </row>
    <row r="1394" s="1" customFormat="true" customHeight="true" spans="1:10">
      <c r="A1394" s="4" t="str">
        <f t="shared" si="169"/>
        <v>021</v>
      </c>
      <c r="B1394" s="4" t="s">
        <v>33</v>
      </c>
      <c r="C1394" s="4" t="str">
        <f>"刘洁"</f>
        <v>刘洁</v>
      </c>
      <c r="D1394" s="4" t="str">
        <f>"2021010812"</f>
        <v>2021010812</v>
      </c>
      <c r="E1394" s="4" t="str">
        <f t="shared" si="173"/>
        <v>08</v>
      </c>
      <c r="F1394" s="4" t="str">
        <f>"12"</f>
        <v>12</v>
      </c>
      <c r="G1394" s="4" t="s">
        <v>12</v>
      </c>
      <c r="H1394" s="5">
        <v>0</v>
      </c>
      <c r="I1394" s="6" t="s">
        <v>13</v>
      </c>
      <c r="J1394" s="4">
        <f>SUMPRODUCT(--((A1394=$A$3:$A$2785)*$H$3:$H$2785&gt;H1394))+1</f>
        <v>268</v>
      </c>
    </row>
    <row r="1395" s="1" customFormat="true" customHeight="true" spans="1:10">
      <c r="A1395" s="4" t="str">
        <f t="shared" si="169"/>
        <v>021</v>
      </c>
      <c r="B1395" s="4" t="s">
        <v>33</v>
      </c>
      <c r="C1395" s="4" t="str">
        <f>"唐小芳"</f>
        <v>唐小芳</v>
      </c>
      <c r="D1395" s="4" t="str">
        <f>"2021010815"</f>
        <v>2021010815</v>
      </c>
      <c r="E1395" s="4" t="str">
        <f t="shared" si="173"/>
        <v>08</v>
      </c>
      <c r="F1395" s="4" t="str">
        <f>"15"</f>
        <v>15</v>
      </c>
      <c r="G1395" s="4" t="s">
        <v>12</v>
      </c>
      <c r="H1395" s="5">
        <v>0</v>
      </c>
      <c r="I1395" s="6" t="s">
        <v>13</v>
      </c>
      <c r="J1395" s="4">
        <f>SUMPRODUCT(--((A1395=$A$3:$A$2785)*$H$3:$H$2785&gt;H1395))+1</f>
        <v>268</v>
      </c>
    </row>
    <row r="1396" s="1" customFormat="true" customHeight="true" spans="1:10">
      <c r="A1396" s="4" t="str">
        <f t="shared" si="169"/>
        <v>021</v>
      </c>
      <c r="B1396" s="4" t="s">
        <v>33</v>
      </c>
      <c r="C1396" s="4" t="str">
        <f>"杨玲慧"</f>
        <v>杨玲慧</v>
      </c>
      <c r="D1396" s="4" t="str">
        <f>"2021010820"</f>
        <v>2021010820</v>
      </c>
      <c r="E1396" s="4" t="str">
        <f t="shared" si="173"/>
        <v>08</v>
      </c>
      <c r="F1396" s="4" t="str">
        <f>"20"</f>
        <v>20</v>
      </c>
      <c r="G1396" s="4" t="s">
        <v>12</v>
      </c>
      <c r="H1396" s="5">
        <v>0</v>
      </c>
      <c r="I1396" s="6" t="s">
        <v>13</v>
      </c>
      <c r="J1396" s="4">
        <f>SUMPRODUCT(--((A1396=$A$3:$A$2785)*$H$3:$H$2785&gt;H1396))+1</f>
        <v>268</v>
      </c>
    </row>
    <row r="1397" s="1" customFormat="true" customHeight="true" spans="1:10">
      <c r="A1397" s="4" t="str">
        <f t="shared" si="169"/>
        <v>021</v>
      </c>
      <c r="B1397" s="4" t="s">
        <v>33</v>
      </c>
      <c r="C1397" s="4" t="str">
        <f>"聂文华"</f>
        <v>聂文华</v>
      </c>
      <c r="D1397" s="4" t="str">
        <f>"2021010825"</f>
        <v>2021010825</v>
      </c>
      <c r="E1397" s="4" t="str">
        <f t="shared" si="173"/>
        <v>08</v>
      </c>
      <c r="F1397" s="4" t="str">
        <f>"25"</f>
        <v>25</v>
      </c>
      <c r="G1397" s="4" t="s">
        <v>12</v>
      </c>
      <c r="H1397" s="5">
        <v>0</v>
      </c>
      <c r="I1397" s="6" t="s">
        <v>13</v>
      </c>
      <c r="J1397" s="4">
        <f>SUMPRODUCT(--((A1397=$A$3:$A$2785)*$H$3:$H$2785&gt;H1397))+1</f>
        <v>268</v>
      </c>
    </row>
    <row r="1398" s="1" customFormat="true" customHeight="true" spans="1:10">
      <c r="A1398" s="4" t="str">
        <f t="shared" si="169"/>
        <v>021</v>
      </c>
      <c r="B1398" s="4" t="s">
        <v>33</v>
      </c>
      <c r="C1398" s="4" t="str">
        <f>"杨若燃"</f>
        <v>杨若燃</v>
      </c>
      <c r="D1398" s="4" t="str">
        <f>"2021010828"</f>
        <v>2021010828</v>
      </c>
      <c r="E1398" s="4" t="str">
        <f t="shared" si="173"/>
        <v>08</v>
      </c>
      <c r="F1398" s="4" t="str">
        <f>"28"</f>
        <v>28</v>
      </c>
      <c r="G1398" s="4" t="s">
        <v>12</v>
      </c>
      <c r="H1398" s="5">
        <v>0</v>
      </c>
      <c r="I1398" s="6" t="s">
        <v>13</v>
      </c>
      <c r="J1398" s="4">
        <f>SUMPRODUCT(--((A1398=$A$3:$A$2785)*$H$3:$H$2785&gt;H1398))+1</f>
        <v>268</v>
      </c>
    </row>
    <row r="1399" s="1" customFormat="true" customHeight="true" spans="1:10">
      <c r="A1399" s="4" t="str">
        <f t="shared" si="169"/>
        <v>021</v>
      </c>
      <c r="B1399" s="4" t="s">
        <v>33</v>
      </c>
      <c r="C1399" s="4" t="str">
        <f>"何丹钰"</f>
        <v>何丹钰</v>
      </c>
      <c r="D1399" s="4" t="str">
        <f>"2021010829"</f>
        <v>2021010829</v>
      </c>
      <c r="E1399" s="4" t="str">
        <f t="shared" si="173"/>
        <v>08</v>
      </c>
      <c r="F1399" s="4" t="str">
        <f>"29"</f>
        <v>29</v>
      </c>
      <c r="G1399" s="4" t="s">
        <v>12</v>
      </c>
      <c r="H1399" s="5">
        <v>0</v>
      </c>
      <c r="I1399" s="6" t="s">
        <v>13</v>
      </c>
      <c r="J1399" s="4">
        <f>SUMPRODUCT(--((A1399=$A$3:$A$2785)*$H$3:$H$2785&gt;H1399))+1</f>
        <v>268</v>
      </c>
    </row>
    <row r="1400" s="1" customFormat="true" customHeight="true" spans="1:10">
      <c r="A1400" s="4" t="str">
        <f t="shared" ref="A1400:A1463" si="174">"021"</f>
        <v>021</v>
      </c>
      <c r="B1400" s="4" t="s">
        <v>33</v>
      </c>
      <c r="C1400" s="4" t="str">
        <f>"章煜熹"</f>
        <v>章煜熹</v>
      </c>
      <c r="D1400" s="4" t="str">
        <f>"2021010830"</f>
        <v>2021010830</v>
      </c>
      <c r="E1400" s="4" t="str">
        <f t="shared" si="173"/>
        <v>08</v>
      </c>
      <c r="F1400" s="4" t="str">
        <f>"30"</f>
        <v>30</v>
      </c>
      <c r="G1400" s="4" t="s">
        <v>12</v>
      </c>
      <c r="H1400" s="5">
        <v>0</v>
      </c>
      <c r="I1400" s="6" t="s">
        <v>13</v>
      </c>
      <c r="J1400" s="4">
        <f>SUMPRODUCT(--((A1400=$A$3:$A$2785)*$H$3:$H$2785&gt;H1400))+1</f>
        <v>268</v>
      </c>
    </row>
    <row r="1401" s="1" customFormat="true" customHeight="true" spans="1:10">
      <c r="A1401" s="4" t="str">
        <f t="shared" si="174"/>
        <v>021</v>
      </c>
      <c r="B1401" s="4" t="s">
        <v>33</v>
      </c>
      <c r="C1401" s="4" t="str">
        <f>"曾丽洁"</f>
        <v>曾丽洁</v>
      </c>
      <c r="D1401" s="4" t="str">
        <f>"2021010901"</f>
        <v>2021010901</v>
      </c>
      <c r="E1401" s="4" t="str">
        <f t="shared" ref="E1401:E1415" si="175">"09"</f>
        <v>09</v>
      </c>
      <c r="F1401" s="4" t="str">
        <f>"01"</f>
        <v>01</v>
      </c>
      <c r="G1401" s="4" t="s">
        <v>12</v>
      </c>
      <c r="H1401" s="5">
        <v>0</v>
      </c>
      <c r="I1401" s="6" t="s">
        <v>13</v>
      </c>
      <c r="J1401" s="4">
        <f>SUMPRODUCT(--((A1401=$A$3:$A$2785)*$H$3:$H$2785&gt;H1401))+1</f>
        <v>268</v>
      </c>
    </row>
    <row r="1402" s="1" customFormat="true" customHeight="true" spans="1:10">
      <c r="A1402" s="4" t="str">
        <f t="shared" si="174"/>
        <v>021</v>
      </c>
      <c r="B1402" s="4" t="s">
        <v>33</v>
      </c>
      <c r="C1402" s="4" t="str">
        <f>"李进"</f>
        <v>李进</v>
      </c>
      <c r="D1402" s="4" t="str">
        <f>"2021010902"</f>
        <v>2021010902</v>
      </c>
      <c r="E1402" s="4" t="str">
        <f t="shared" si="175"/>
        <v>09</v>
      </c>
      <c r="F1402" s="4" t="str">
        <f>"02"</f>
        <v>02</v>
      </c>
      <c r="G1402" s="4" t="s">
        <v>12</v>
      </c>
      <c r="H1402" s="5">
        <v>0</v>
      </c>
      <c r="I1402" s="6" t="s">
        <v>13</v>
      </c>
      <c r="J1402" s="4">
        <f>SUMPRODUCT(--((A1402=$A$3:$A$2785)*$H$3:$H$2785&gt;H1402))+1</f>
        <v>268</v>
      </c>
    </row>
    <row r="1403" s="1" customFormat="true" customHeight="true" spans="1:10">
      <c r="A1403" s="4" t="str">
        <f t="shared" si="174"/>
        <v>021</v>
      </c>
      <c r="B1403" s="4" t="s">
        <v>33</v>
      </c>
      <c r="C1403" s="4" t="str">
        <f>"匡小凤"</f>
        <v>匡小凤</v>
      </c>
      <c r="D1403" s="4" t="str">
        <f>"2021010904"</f>
        <v>2021010904</v>
      </c>
      <c r="E1403" s="4" t="str">
        <f t="shared" si="175"/>
        <v>09</v>
      </c>
      <c r="F1403" s="4" t="str">
        <f>"04"</f>
        <v>04</v>
      </c>
      <c r="G1403" s="4" t="s">
        <v>12</v>
      </c>
      <c r="H1403" s="5">
        <v>0</v>
      </c>
      <c r="I1403" s="6" t="s">
        <v>13</v>
      </c>
      <c r="J1403" s="4">
        <f>SUMPRODUCT(--((A1403=$A$3:$A$2785)*$H$3:$H$2785&gt;H1403))+1</f>
        <v>268</v>
      </c>
    </row>
    <row r="1404" s="1" customFormat="true" customHeight="true" spans="1:10">
      <c r="A1404" s="4" t="str">
        <f t="shared" si="174"/>
        <v>021</v>
      </c>
      <c r="B1404" s="4" t="s">
        <v>33</v>
      </c>
      <c r="C1404" s="4" t="str">
        <f>"杨秋香"</f>
        <v>杨秋香</v>
      </c>
      <c r="D1404" s="4" t="str">
        <f>"2021010907"</f>
        <v>2021010907</v>
      </c>
      <c r="E1404" s="4" t="str">
        <f t="shared" si="175"/>
        <v>09</v>
      </c>
      <c r="F1404" s="4" t="str">
        <f>"07"</f>
        <v>07</v>
      </c>
      <c r="G1404" s="4" t="s">
        <v>12</v>
      </c>
      <c r="H1404" s="5">
        <v>0</v>
      </c>
      <c r="I1404" s="6" t="s">
        <v>13</v>
      </c>
      <c r="J1404" s="4">
        <f>SUMPRODUCT(--((A1404=$A$3:$A$2785)*$H$3:$H$2785&gt;H1404))+1</f>
        <v>268</v>
      </c>
    </row>
    <row r="1405" s="1" customFormat="true" customHeight="true" spans="1:10">
      <c r="A1405" s="4" t="str">
        <f t="shared" si="174"/>
        <v>021</v>
      </c>
      <c r="B1405" s="4" t="s">
        <v>33</v>
      </c>
      <c r="C1405" s="4" t="str">
        <f>"蒋小雪"</f>
        <v>蒋小雪</v>
      </c>
      <c r="D1405" s="4" t="str">
        <f>"2021010908"</f>
        <v>2021010908</v>
      </c>
      <c r="E1405" s="4" t="str">
        <f t="shared" si="175"/>
        <v>09</v>
      </c>
      <c r="F1405" s="4" t="str">
        <f>"08"</f>
        <v>08</v>
      </c>
      <c r="G1405" s="4" t="s">
        <v>12</v>
      </c>
      <c r="H1405" s="5">
        <v>0</v>
      </c>
      <c r="I1405" s="6" t="s">
        <v>13</v>
      </c>
      <c r="J1405" s="4">
        <f>SUMPRODUCT(--((A1405=$A$3:$A$2785)*$H$3:$H$2785&gt;H1405))+1</f>
        <v>268</v>
      </c>
    </row>
    <row r="1406" s="1" customFormat="true" customHeight="true" spans="1:10">
      <c r="A1406" s="4" t="str">
        <f t="shared" si="174"/>
        <v>021</v>
      </c>
      <c r="B1406" s="4" t="s">
        <v>33</v>
      </c>
      <c r="C1406" s="4" t="str">
        <f>"李倩"</f>
        <v>李倩</v>
      </c>
      <c r="D1406" s="4" t="str">
        <f>"2021010910"</f>
        <v>2021010910</v>
      </c>
      <c r="E1406" s="4" t="str">
        <f t="shared" si="175"/>
        <v>09</v>
      </c>
      <c r="F1406" s="4" t="str">
        <f>"10"</f>
        <v>10</v>
      </c>
      <c r="G1406" s="4" t="s">
        <v>12</v>
      </c>
      <c r="H1406" s="5">
        <v>0</v>
      </c>
      <c r="I1406" s="6" t="s">
        <v>13</v>
      </c>
      <c r="J1406" s="4">
        <f>SUMPRODUCT(--((A1406=$A$3:$A$2785)*$H$3:$H$2785&gt;H1406))+1</f>
        <v>268</v>
      </c>
    </row>
    <row r="1407" s="1" customFormat="true" customHeight="true" spans="1:10">
      <c r="A1407" s="4" t="str">
        <f t="shared" si="174"/>
        <v>021</v>
      </c>
      <c r="B1407" s="4" t="s">
        <v>33</v>
      </c>
      <c r="C1407" s="4" t="str">
        <f>"向梦思"</f>
        <v>向梦思</v>
      </c>
      <c r="D1407" s="4" t="str">
        <f>"2021010911"</f>
        <v>2021010911</v>
      </c>
      <c r="E1407" s="4" t="str">
        <f t="shared" si="175"/>
        <v>09</v>
      </c>
      <c r="F1407" s="4" t="str">
        <f>"11"</f>
        <v>11</v>
      </c>
      <c r="G1407" s="4" t="s">
        <v>12</v>
      </c>
      <c r="H1407" s="5">
        <v>0</v>
      </c>
      <c r="I1407" s="6" t="s">
        <v>13</v>
      </c>
      <c r="J1407" s="4">
        <f>SUMPRODUCT(--((A1407=$A$3:$A$2785)*$H$3:$H$2785&gt;H1407))+1</f>
        <v>268</v>
      </c>
    </row>
    <row r="1408" s="1" customFormat="true" customHeight="true" spans="1:10">
      <c r="A1408" s="4" t="str">
        <f t="shared" si="174"/>
        <v>021</v>
      </c>
      <c r="B1408" s="4" t="s">
        <v>33</v>
      </c>
      <c r="C1408" s="4" t="str">
        <f>"周碧秋"</f>
        <v>周碧秋</v>
      </c>
      <c r="D1408" s="4" t="str">
        <f>"2021010914"</f>
        <v>2021010914</v>
      </c>
      <c r="E1408" s="4" t="str">
        <f t="shared" si="175"/>
        <v>09</v>
      </c>
      <c r="F1408" s="4" t="str">
        <f>"14"</f>
        <v>14</v>
      </c>
      <c r="G1408" s="4" t="s">
        <v>12</v>
      </c>
      <c r="H1408" s="5">
        <v>0</v>
      </c>
      <c r="I1408" s="6" t="s">
        <v>13</v>
      </c>
      <c r="J1408" s="4">
        <f>SUMPRODUCT(--((A1408=$A$3:$A$2785)*$H$3:$H$2785&gt;H1408))+1</f>
        <v>268</v>
      </c>
    </row>
    <row r="1409" s="1" customFormat="true" customHeight="true" spans="1:10">
      <c r="A1409" s="4" t="str">
        <f t="shared" si="174"/>
        <v>021</v>
      </c>
      <c r="B1409" s="4" t="s">
        <v>33</v>
      </c>
      <c r="C1409" s="4" t="str">
        <f>"舒依兰"</f>
        <v>舒依兰</v>
      </c>
      <c r="D1409" s="4" t="str">
        <f>"2021010915"</f>
        <v>2021010915</v>
      </c>
      <c r="E1409" s="4" t="str">
        <f t="shared" si="175"/>
        <v>09</v>
      </c>
      <c r="F1409" s="4" t="str">
        <f>"15"</f>
        <v>15</v>
      </c>
      <c r="G1409" s="4" t="s">
        <v>12</v>
      </c>
      <c r="H1409" s="5">
        <v>0</v>
      </c>
      <c r="I1409" s="6" t="s">
        <v>13</v>
      </c>
      <c r="J1409" s="4">
        <f>SUMPRODUCT(--((A1409=$A$3:$A$2785)*$H$3:$H$2785&gt;H1409))+1</f>
        <v>268</v>
      </c>
    </row>
    <row r="1410" s="1" customFormat="true" customHeight="true" spans="1:10">
      <c r="A1410" s="4" t="str">
        <f t="shared" si="174"/>
        <v>021</v>
      </c>
      <c r="B1410" s="4" t="s">
        <v>33</v>
      </c>
      <c r="C1410" s="4" t="str">
        <f>"陈雁君"</f>
        <v>陈雁君</v>
      </c>
      <c r="D1410" s="4" t="str">
        <f>"2021010917"</f>
        <v>2021010917</v>
      </c>
      <c r="E1410" s="4" t="str">
        <f t="shared" si="175"/>
        <v>09</v>
      </c>
      <c r="F1410" s="4" t="str">
        <f>"17"</f>
        <v>17</v>
      </c>
      <c r="G1410" s="4" t="s">
        <v>12</v>
      </c>
      <c r="H1410" s="5">
        <v>0</v>
      </c>
      <c r="I1410" s="6" t="s">
        <v>13</v>
      </c>
      <c r="J1410" s="4">
        <f>SUMPRODUCT(--((A1410=$A$3:$A$2785)*$H$3:$H$2785&gt;H1410))+1</f>
        <v>268</v>
      </c>
    </row>
    <row r="1411" s="1" customFormat="true" customHeight="true" spans="1:10">
      <c r="A1411" s="4" t="str">
        <f t="shared" si="174"/>
        <v>021</v>
      </c>
      <c r="B1411" s="4" t="s">
        <v>33</v>
      </c>
      <c r="C1411" s="4" t="str">
        <f>"张满妍"</f>
        <v>张满妍</v>
      </c>
      <c r="D1411" s="4" t="str">
        <f>"2021010919"</f>
        <v>2021010919</v>
      </c>
      <c r="E1411" s="4" t="str">
        <f t="shared" si="175"/>
        <v>09</v>
      </c>
      <c r="F1411" s="4" t="str">
        <f>"19"</f>
        <v>19</v>
      </c>
      <c r="G1411" s="4" t="s">
        <v>12</v>
      </c>
      <c r="H1411" s="5">
        <v>0</v>
      </c>
      <c r="I1411" s="6" t="s">
        <v>13</v>
      </c>
      <c r="J1411" s="4">
        <f>SUMPRODUCT(--((A1411=$A$3:$A$2785)*$H$3:$H$2785&gt;H1411))+1</f>
        <v>268</v>
      </c>
    </row>
    <row r="1412" s="1" customFormat="true" customHeight="true" spans="1:10">
      <c r="A1412" s="4" t="str">
        <f t="shared" si="174"/>
        <v>021</v>
      </c>
      <c r="B1412" s="4" t="s">
        <v>33</v>
      </c>
      <c r="C1412" s="4" t="str">
        <f>"李杨"</f>
        <v>李杨</v>
      </c>
      <c r="D1412" s="4" t="str">
        <f>"2021010921"</f>
        <v>2021010921</v>
      </c>
      <c r="E1412" s="4" t="str">
        <f t="shared" si="175"/>
        <v>09</v>
      </c>
      <c r="F1412" s="4" t="str">
        <f>"21"</f>
        <v>21</v>
      </c>
      <c r="G1412" s="4" t="s">
        <v>12</v>
      </c>
      <c r="H1412" s="5">
        <v>0</v>
      </c>
      <c r="I1412" s="6" t="s">
        <v>13</v>
      </c>
      <c r="J1412" s="4">
        <f>SUMPRODUCT(--((A1412=$A$3:$A$2785)*$H$3:$H$2785&gt;H1412))+1</f>
        <v>268</v>
      </c>
    </row>
    <row r="1413" s="1" customFormat="true" customHeight="true" spans="1:10">
      <c r="A1413" s="4" t="str">
        <f t="shared" si="174"/>
        <v>021</v>
      </c>
      <c r="B1413" s="4" t="s">
        <v>33</v>
      </c>
      <c r="C1413" s="4" t="str">
        <f>"袁露"</f>
        <v>袁露</v>
      </c>
      <c r="D1413" s="4" t="str">
        <f>"2021010923"</f>
        <v>2021010923</v>
      </c>
      <c r="E1413" s="4" t="str">
        <f t="shared" si="175"/>
        <v>09</v>
      </c>
      <c r="F1413" s="4" t="str">
        <f>"23"</f>
        <v>23</v>
      </c>
      <c r="G1413" s="4" t="s">
        <v>12</v>
      </c>
      <c r="H1413" s="5">
        <v>0</v>
      </c>
      <c r="I1413" s="6" t="s">
        <v>13</v>
      </c>
      <c r="J1413" s="4">
        <f>SUMPRODUCT(--((A1413=$A$3:$A$2785)*$H$3:$H$2785&gt;H1413))+1</f>
        <v>268</v>
      </c>
    </row>
    <row r="1414" s="1" customFormat="true" customHeight="true" spans="1:10">
      <c r="A1414" s="4" t="str">
        <f t="shared" si="174"/>
        <v>021</v>
      </c>
      <c r="B1414" s="4" t="s">
        <v>33</v>
      </c>
      <c r="C1414" s="4" t="str">
        <f>"王钰瑶"</f>
        <v>王钰瑶</v>
      </c>
      <c r="D1414" s="4" t="str">
        <f>"2021010926"</f>
        <v>2021010926</v>
      </c>
      <c r="E1414" s="4" t="str">
        <f t="shared" si="175"/>
        <v>09</v>
      </c>
      <c r="F1414" s="4" t="str">
        <f>"26"</f>
        <v>26</v>
      </c>
      <c r="G1414" s="4" t="s">
        <v>12</v>
      </c>
      <c r="H1414" s="5">
        <v>0</v>
      </c>
      <c r="I1414" s="6" t="s">
        <v>13</v>
      </c>
      <c r="J1414" s="4">
        <f>SUMPRODUCT(--((A1414=$A$3:$A$2785)*$H$3:$H$2785&gt;H1414))+1</f>
        <v>268</v>
      </c>
    </row>
    <row r="1415" s="1" customFormat="true" customHeight="true" spans="1:10">
      <c r="A1415" s="4" t="str">
        <f t="shared" si="174"/>
        <v>021</v>
      </c>
      <c r="B1415" s="4" t="s">
        <v>33</v>
      </c>
      <c r="C1415" s="4" t="str">
        <f>"杨欣"</f>
        <v>杨欣</v>
      </c>
      <c r="D1415" s="4" t="str">
        <f>"2021010930"</f>
        <v>2021010930</v>
      </c>
      <c r="E1415" s="4" t="str">
        <f t="shared" si="175"/>
        <v>09</v>
      </c>
      <c r="F1415" s="4" t="str">
        <f>"30"</f>
        <v>30</v>
      </c>
      <c r="G1415" s="4" t="s">
        <v>12</v>
      </c>
      <c r="H1415" s="5">
        <v>0</v>
      </c>
      <c r="I1415" s="6" t="s">
        <v>13</v>
      </c>
      <c r="J1415" s="4">
        <f>SUMPRODUCT(--((A1415=$A$3:$A$2785)*$H$3:$H$2785&gt;H1415))+1</f>
        <v>268</v>
      </c>
    </row>
    <row r="1416" s="1" customFormat="true" customHeight="true" spans="1:10">
      <c r="A1416" s="4" t="str">
        <f t="shared" si="174"/>
        <v>021</v>
      </c>
      <c r="B1416" s="4" t="s">
        <v>33</v>
      </c>
      <c r="C1416" s="4" t="str">
        <f>"费良芸"</f>
        <v>费良芸</v>
      </c>
      <c r="D1416" s="4" t="str">
        <f>"2021011002"</f>
        <v>2021011002</v>
      </c>
      <c r="E1416" s="4" t="str">
        <f t="shared" ref="E1416:E1430" si="176">"10"</f>
        <v>10</v>
      </c>
      <c r="F1416" s="4" t="str">
        <f>"02"</f>
        <v>02</v>
      </c>
      <c r="G1416" s="4" t="s">
        <v>12</v>
      </c>
      <c r="H1416" s="5">
        <v>0</v>
      </c>
      <c r="I1416" s="6" t="s">
        <v>13</v>
      </c>
      <c r="J1416" s="4">
        <f>SUMPRODUCT(--((A1416=$A$3:$A$2785)*$H$3:$H$2785&gt;H1416))+1</f>
        <v>268</v>
      </c>
    </row>
    <row r="1417" s="1" customFormat="true" customHeight="true" spans="1:10">
      <c r="A1417" s="4" t="str">
        <f t="shared" si="174"/>
        <v>021</v>
      </c>
      <c r="B1417" s="4" t="s">
        <v>33</v>
      </c>
      <c r="C1417" s="4" t="str">
        <f>"宋湘"</f>
        <v>宋湘</v>
      </c>
      <c r="D1417" s="4" t="str">
        <f>"2021011003"</f>
        <v>2021011003</v>
      </c>
      <c r="E1417" s="4" t="str">
        <f t="shared" si="176"/>
        <v>10</v>
      </c>
      <c r="F1417" s="4" t="str">
        <f>"03"</f>
        <v>03</v>
      </c>
      <c r="G1417" s="4" t="s">
        <v>12</v>
      </c>
      <c r="H1417" s="5">
        <v>0</v>
      </c>
      <c r="I1417" s="6" t="s">
        <v>13</v>
      </c>
      <c r="J1417" s="4">
        <f>SUMPRODUCT(--((A1417=$A$3:$A$2785)*$H$3:$H$2785&gt;H1417))+1</f>
        <v>268</v>
      </c>
    </row>
    <row r="1418" s="1" customFormat="true" customHeight="true" spans="1:10">
      <c r="A1418" s="4" t="str">
        <f t="shared" si="174"/>
        <v>021</v>
      </c>
      <c r="B1418" s="4" t="s">
        <v>33</v>
      </c>
      <c r="C1418" s="4" t="str">
        <f>"梁歆"</f>
        <v>梁歆</v>
      </c>
      <c r="D1418" s="4" t="str">
        <f>"2021011004"</f>
        <v>2021011004</v>
      </c>
      <c r="E1418" s="4" t="str">
        <f t="shared" si="176"/>
        <v>10</v>
      </c>
      <c r="F1418" s="4" t="str">
        <f>"04"</f>
        <v>04</v>
      </c>
      <c r="G1418" s="4" t="s">
        <v>12</v>
      </c>
      <c r="H1418" s="5">
        <v>0</v>
      </c>
      <c r="I1418" s="6" t="s">
        <v>13</v>
      </c>
      <c r="J1418" s="4">
        <f>SUMPRODUCT(--((A1418=$A$3:$A$2785)*$H$3:$H$2785&gt;H1418))+1</f>
        <v>268</v>
      </c>
    </row>
    <row r="1419" s="1" customFormat="true" customHeight="true" spans="1:10">
      <c r="A1419" s="4" t="str">
        <f t="shared" si="174"/>
        <v>021</v>
      </c>
      <c r="B1419" s="4" t="s">
        <v>33</v>
      </c>
      <c r="C1419" s="4" t="str">
        <f>"潘静"</f>
        <v>潘静</v>
      </c>
      <c r="D1419" s="4" t="str">
        <f>"2021011006"</f>
        <v>2021011006</v>
      </c>
      <c r="E1419" s="4" t="str">
        <f t="shared" si="176"/>
        <v>10</v>
      </c>
      <c r="F1419" s="4" t="str">
        <f>"06"</f>
        <v>06</v>
      </c>
      <c r="G1419" s="4" t="s">
        <v>12</v>
      </c>
      <c r="H1419" s="5">
        <v>0</v>
      </c>
      <c r="I1419" s="6" t="s">
        <v>13</v>
      </c>
      <c r="J1419" s="4">
        <f>SUMPRODUCT(--((A1419=$A$3:$A$2785)*$H$3:$H$2785&gt;H1419))+1</f>
        <v>268</v>
      </c>
    </row>
    <row r="1420" s="1" customFormat="true" customHeight="true" spans="1:10">
      <c r="A1420" s="4" t="str">
        <f t="shared" si="174"/>
        <v>021</v>
      </c>
      <c r="B1420" s="4" t="s">
        <v>33</v>
      </c>
      <c r="C1420" s="4" t="str">
        <f>"周洁"</f>
        <v>周洁</v>
      </c>
      <c r="D1420" s="4" t="str">
        <f>"2021011007"</f>
        <v>2021011007</v>
      </c>
      <c r="E1420" s="4" t="str">
        <f t="shared" si="176"/>
        <v>10</v>
      </c>
      <c r="F1420" s="4" t="str">
        <f>"07"</f>
        <v>07</v>
      </c>
      <c r="G1420" s="4" t="s">
        <v>12</v>
      </c>
      <c r="H1420" s="5">
        <v>0</v>
      </c>
      <c r="I1420" s="6" t="s">
        <v>13</v>
      </c>
      <c r="J1420" s="4">
        <f>SUMPRODUCT(--((A1420=$A$3:$A$2785)*$H$3:$H$2785&gt;H1420))+1</f>
        <v>268</v>
      </c>
    </row>
    <row r="1421" s="1" customFormat="true" customHeight="true" spans="1:10">
      <c r="A1421" s="4" t="str">
        <f t="shared" si="174"/>
        <v>021</v>
      </c>
      <c r="B1421" s="4" t="s">
        <v>33</v>
      </c>
      <c r="C1421" s="4" t="str">
        <f>"杨心铭"</f>
        <v>杨心铭</v>
      </c>
      <c r="D1421" s="4" t="str">
        <f>"2021011009"</f>
        <v>2021011009</v>
      </c>
      <c r="E1421" s="4" t="str">
        <f t="shared" si="176"/>
        <v>10</v>
      </c>
      <c r="F1421" s="4" t="str">
        <f>"09"</f>
        <v>09</v>
      </c>
      <c r="G1421" s="4" t="s">
        <v>12</v>
      </c>
      <c r="H1421" s="5">
        <v>0</v>
      </c>
      <c r="I1421" s="6" t="s">
        <v>13</v>
      </c>
      <c r="J1421" s="4">
        <f>SUMPRODUCT(--((A1421=$A$3:$A$2785)*$H$3:$H$2785&gt;H1421))+1</f>
        <v>268</v>
      </c>
    </row>
    <row r="1422" s="1" customFormat="true" customHeight="true" spans="1:10">
      <c r="A1422" s="4" t="str">
        <f t="shared" si="174"/>
        <v>021</v>
      </c>
      <c r="B1422" s="4" t="s">
        <v>33</v>
      </c>
      <c r="C1422" s="4" t="str">
        <f>"杨惠媛"</f>
        <v>杨惠媛</v>
      </c>
      <c r="D1422" s="4" t="str">
        <f>"2021011013"</f>
        <v>2021011013</v>
      </c>
      <c r="E1422" s="4" t="str">
        <f t="shared" si="176"/>
        <v>10</v>
      </c>
      <c r="F1422" s="4" t="str">
        <f>"13"</f>
        <v>13</v>
      </c>
      <c r="G1422" s="4" t="s">
        <v>12</v>
      </c>
      <c r="H1422" s="5">
        <v>0</v>
      </c>
      <c r="I1422" s="6" t="s">
        <v>13</v>
      </c>
      <c r="J1422" s="4">
        <f>SUMPRODUCT(--((A1422=$A$3:$A$2785)*$H$3:$H$2785&gt;H1422))+1</f>
        <v>268</v>
      </c>
    </row>
    <row r="1423" s="1" customFormat="true" customHeight="true" spans="1:10">
      <c r="A1423" s="4" t="str">
        <f t="shared" si="174"/>
        <v>021</v>
      </c>
      <c r="B1423" s="4" t="s">
        <v>33</v>
      </c>
      <c r="C1423" s="4" t="str">
        <f>"米嘉欣"</f>
        <v>米嘉欣</v>
      </c>
      <c r="D1423" s="4" t="str">
        <f>"2021011019"</f>
        <v>2021011019</v>
      </c>
      <c r="E1423" s="4" t="str">
        <f t="shared" si="176"/>
        <v>10</v>
      </c>
      <c r="F1423" s="4" t="str">
        <f>"19"</f>
        <v>19</v>
      </c>
      <c r="G1423" s="4" t="s">
        <v>12</v>
      </c>
      <c r="H1423" s="5">
        <v>0</v>
      </c>
      <c r="I1423" s="6" t="s">
        <v>13</v>
      </c>
      <c r="J1423" s="4">
        <f>SUMPRODUCT(--((A1423=$A$3:$A$2785)*$H$3:$H$2785&gt;H1423))+1</f>
        <v>268</v>
      </c>
    </row>
    <row r="1424" s="1" customFormat="true" customHeight="true" spans="1:10">
      <c r="A1424" s="4" t="str">
        <f t="shared" si="174"/>
        <v>021</v>
      </c>
      <c r="B1424" s="4" t="s">
        <v>33</v>
      </c>
      <c r="C1424" s="4" t="str">
        <f>"黄雯娟"</f>
        <v>黄雯娟</v>
      </c>
      <c r="D1424" s="4" t="str">
        <f>"2021011020"</f>
        <v>2021011020</v>
      </c>
      <c r="E1424" s="4" t="str">
        <f t="shared" si="176"/>
        <v>10</v>
      </c>
      <c r="F1424" s="4" t="str">
        <f>"20"</f>
        <v>20</v>
      </c>
      <c r="G1424" s="4" t="s">
        <v>12</v>
      </c>
      <c r="H1424" s="5">
        <v>0</v>
      </c>
      <c r="I1424" s="6" t="s">
        <v>13</v>
      </c>
      <c r="J1424" s="4">
        <f>SUMPRODUCT(--((A1424=$A$3:$A$2785)*$H$3:$H$2785&gt;H1424))+1</f>
        <v>268</v>
      </c>
    </row>
    <row r="1425" s="1" customFormat="true" customHeight="true" spans="1:10">
      <c r="A1425" s="4" t="str">
        <f t="shared" si="174"/>
        <v>021</v>
      </c>
      <c r="B1425" s="4" t="s">
        <v>33</v>
      </c>
      <c r="C1425" s="4" t="str">
        <f>"杨亚"</f>
        <v>杨亚</v>
      </c>
      <c r="D1425" s="4" t="str">
        <f>"2021011022"</f>
        <v>2021011022</v>
      </c>
      <c r="E1425" s="4" t="str">
        <f t="shared" si="176"/>
        <v>10</v>
      </c>
      <c r="F1425" s="4" t="str">
        <f>"22"</f>
        <v>22</v>
      </c>
      <c r="G1425" s="4" t="s">
        <v>12</v>
      </c>
      <c r="H1425" s="5">
        <v>0</v>
      </c>
      <c r="I1425" s="6" t="s">
        <v>13</v>
      </c>
      <c r="J1425" s="4">
        <f>SUMPRODUCT(--((A1425=$A$3:$A$2785)*$H$3:$H$2785&gt;H1425))+1</f>
        <v>268</v>
      </c>
    </row>
    <row r="1426" s="1" customFormat="true" customHeight="true" spans="1:10">
      <c r="A1426" s="4" t="str">
        <f t="shared" si="174"/>
        <v>021</v>
      </c>
      <c r="B1426" s="4" t="s">
        <v>33</v>
      </c>
      <c r="C1426" s="4" t="str">
        <f>"白桃"</f>
        <v>白桃</v>
      </c>
      <c r="D1426" s="4" t="str">
        <f>"2021011024"</f>
        <v>2021011024</v>
      </c>
      <c r="E1426" s="4" t="str">
        <f t="shared" si="176"/>
        <v>10</v>
      </c>
      <c r="F1426" s="4" t="str">
        <f>"24"</f>
        <v>24</v>
      </c>
      <c r="G1426" s="4" t="s">
        <v>12</v>
      </c>
      <c r="H1426" s="5">
        <v>0</v>
      </c>
      <c r="I1426" s="6" t="s">
        <v>13</v>
      </c>
      <c r="J1426" s="4">
        <f>SUMPRODUCT(--((A1426=$A$3:$A$2785)*$H$3:$H$2785&gt;H1426))+1</f>
        <v>268</v>
      </c>
    </row>
    <row r="1427" s="1" customFormat="true" customHeight="true" spans="1:10">
      <c r="A1427" s="4" t="str">
        <f t="shared" si="174"/>
        <v>021</v>
      </c>
      <c r="B1427" s="4" t="s">
        <v>33</v>
      </c>
      <c r="C1427" s="4" t="str">
        <f>"朱雪丽"</f>
        <v>朱雪丽</v>
      </c>
      <c r="D1427" s="4" t="str">
        <f>"2021011026"</f>
        <v>2021011026</v>
      </c>
      <c r="E1427" s="4" t="str">
        <f t="shared" si="176"/>
        <v>10</v>
      </c>
      <c r="F1427" s="4" t="str">
        <f>"26"</f>
        <v>26</v>
      </c>
      <c r="G1427" s="4" t="s">
        <v>12</v>
      </c>
      <c r="H1427" s="5">
        <v>0</v>
      </c>
      <c r="I1427" s="6" t="s">
        <v>13</v>
      </c>
      <c r="J1427" s="4">
        <f>SUMPRODUCT(--((A1427=$A$3:$A$2785)*$H$3:$H$2785&gt;H1427))+1</f>
        <v>268</v>
      </c>
    </row>
    <row r="1428" s="1" customFormat="true" customHeight="true" spans="1:10">
      <c r="A1428" s="4" t="str">
        <f t="shared" si="174"/>
        <v>021</v>
      </c>
      <c r="B1428" s="4" t="s">
        <v>33</v>
      </c>
      <c r="C1428" s="4" t="str">
        <f>"张雪超"</f>
        <v>张雪超</v>
      </c>
      <c r="D1428" s="4" t="str">
        <f>"2021011028"</f>
        <v>2021011028</v>
      </c>
      <c r="E1428" s="4" t="str">
        <f t="shared" si="176"/>
        <v>10</v>
      </c>
      <c r="F1428" s="4" t="str">
        <f>"28"</f>
        <v>28</v>
      </c>
      <c r="G1428" s="4" t="s">
        <v>12</v>
      </c>
      <c r="H1428" s="5">
        <v>0</v>
      </c>
      <c r="I1428" s="6" t="s">
        <v>13</v>
      </c>
      <c r="J1428" s="4">
        <f>SUMPRODUCT(--((A1428=$A$3:$A$2785)*$H$3:$H$2785&gt;H1428))+1</f>
        <v>268</v>
      </c>
    </row>
    <row r="1429" s="1" customFormat="true" customHeight="true" spans="1:10">
      <c r="A1429" s="4" t="str">
        <f t="shared" si="174"/>
        <v>021</v>
      </c>
      <c r="B1429" s="4" t="s">
        <v>33</v>
      </c>
      <c r="C1429" s="4" t="str">
        <f>"龙玉姣"</f>
        <v>龙玉姣</v>
      </c>
      <c r="D1429" s="4" t="str">
        <f>"2021011029"</f>
        <v>2021011029</v>
      </c>
      <c r="E1429" s="4" t="str">
        <f t="shared" si="176"/>
        <v>10</v>
      </c>
      <c r="F1429" s="4" t="str">
        <f>"29"</f>
        <v>29</v>
      </c>
      <c r="G1429" s="4" t="s">
        <v>12</v>
      </c>
      <c r="H1429" s="5">
        <v>0</v>
      </c>
      <c r="I1429" s="6" t="s">
        <v>13</v>
      </c>
      <c r="J1429" s="4">
        <f>SUMPRODUCT(--((A1429=$A$3:$A$2785)*$H$3:$H$2785&gt;H1429))+1</f>
        <v>268</v>
      </c>
    </row>
    <row r="1430" s="1" customFormat="true" customHeight="true" spans="1:10">
      <c r="A1430" s="4" t="str">
        <f t="shared" si="174"/>
        <v>021</v>
      </c>
      <c r="B1430" s="4" t="s">
        <v>33</v>
      </c>
      <c r="C1430" s="4" t="str">
        <f>"杨青"</f>
        <v>杨青</v>
      </c>
      <c r="D1430" s="4" t="str">
        <f>"2021011030"</f>
        <v>2021011030</v>
      </c>
      <c r="E1430" s="4" t="str">
        <f t="shared" si="176"/>
        <v>10</v>
      </c>
      <c r="F1430" s="4" t="str">
        <f>"30"</f>
        <v>30</v>
      </c>
      <c r="G1430" s="4" t="s">
        <v>12</v>
      </c>
      <c r="H1430" s="5">
        <v>0</v>
      </c>
      <c r="I1430" s="6" t="s">
        <v>13</v>
      </c>
      <c r="J1430" s="4">
        <f>SUMPRODUCT(--((A1430=$A$3:$A$2785)*$H$3:$H$2785&gt;H1430))+1</f>
        <v>268</v>
      </c>
    </row>
    <row r="1431" s="1" customFormat="true" customHeight="true" spans="1:10">
      <c r="A1431" s="4" t="str">
        <f t="shared" si="174"/>
        <v>021</v>
      </c>
      <c r="B1431" s="4" t="s">
        <v>33</v>
      </c>
      <c r="C1431" s="4" t="str">
        <f>"邓春洪"</f>
        <v>邓春洪</v>
      </c>
      <c r="D1431" s="4" t="str">
        <f>"2021011101"</f>
        <v>2021011101</v>
      </c>
      <c r="E1431" s="4" t="str">
        <f t="shared" ref="E1431:E1449" si="177">"11"</f>
        <v>11</v>
      </c>
      <c r="F1431" s="4" t="str">
        <f>"01"</f>
        <v>01</v>
      </c>
      <c r="G1431" s="4" t="s">
        <v>12</v>
      </c>
      <c r="H1431" s="5">
        <v>0</v>
      </c>
      <c r="I1431" s="6" t="s">
        <v>13</v>
      </c>
      <c r="J1431" s="4">
        <f>SUMPRODUCT(--((A1431=$A$3:$A$2785)*$H$3:$H$2785&gt;H1431))+1</f>
        <v>268</v>
      </c>
    </row>
    <row r="1432" s="1" customFormat="true" customHeight="true" spans="1:10">
      <c r="A1432" s="4" t="str">
        <f t="shared" si="174"/>
        <v>021</v>
      </c>
      <c r="B1432" s="4" t="s">
        <v>33</v>
      </c>
      <c r="C1432" s="4" t="str">
        <f>"李丹"</f>
        <v>李丹</v>
      </c>
      <c r="D1432" s="4" t="str">
        <f>"2021011102"</f>
        <v>2021011102</v>
      </c>
      <c r="E1432" s="4" t="str">
        <f t="shared" si="177"/>
        <v>11</v>
      </c>
      <c r="F1432" s="4" t="str">
        <f>"02"</f>
        <v>02</v>
      </c>
      <c r="G1432" s="4" t="s">
        <v>12</v>
      </c>
      <c r="H1432" s="5">
        <v>0</v>
      </c>
      <c r="I1432" s="6" t="s">
        <v>13</v>
      </c>
      <c r="J1432" s="4">
        <f>SUMPRODUCT(--((A1432=$A$3:$A$2785)*$H$3:$H$2785&gt;H1432))+1</f>
        <v>268</v>
      </c>
    </row>
    <row r="1433" s="1" customFormat="true" customHeight="true" spans="1:10">
      <c r="A1433" s="4" t="str">
        <f t="shared" si="174"/>
        <v>021</v>
      </c>
      <c r="B1433" s="4" t="s">
        <v>33</v>
      </c>
      <c r="C1433" s="4" t="str">
        <f>"陆姚利"</f>
        <v>陆姚利</v>
      </c>
      <c r="D1433" s="4" t="str">
        <f>"2021011103"</f>
        <v>2021011103</v>
      </c>
      <c r="E1433" s="4" t="str">
        <f t="shared" si="177"/>
        <v>11</v>
      </c>
      <c r="F1433" s="4" t="str">
        <f>"03"</f>
        <v>03</v>
      </c>
      <c r="G1433" s="4" t="s">
        <v>12</v>
      </c>
      <c r="H1433" s="5">
        <v>0</v>
      </c>
      <c r="I1433" s="6" t="s">
        <v>13</v>
      </c>
      <c r="J1433" s="4">
        <f>SUMPRODUCT(--((A1433=$A$3:$A$2785)*$H$3:$H$2785&gt;H1433))+1</f>
        <v>268</v>
      </c>
    </row>
    <row r="1434" s="1" customFormat="true" customHeight="true" spans="1:10">
      <c r="A1434" s="4" t="str">
        <f t="shared" si="174"/>
        <v>021</v>
      </c>
      <c r="B1434" s="4" t="s">
        <v>33</v>
      </c>
      <c r="C1434" s="4" t="str">
        <f>" 滕芯"</f>
        <v> 滕芯</v>
      </c>
      <c r="D1434" s="4" t="str">
        <f>"2021011106"</f>
        <v>2021011106</v>
      </c>
      <c r="E1434" s="4" t="str">
        <f t="shared" si="177"/>
        <v>11</v>
      </c>
      <c r="F1434" s="4" t="str">
        <f>"06"</f>
        <v>06</v>
      </c>
      <c r="G1434" s="4" t="s">
        <v>12</v>
      </c>
      <c r="H1434" s="5">
        <v>0</v>
      </c>
      <c r="I1434" s="6" t="s">
        <v>13</v>
      </c>
      <c r="J1434" s="4">
        <f>SUMPRODUCT(--((A1434=$A$3:$A$2785)*$H$3:$H$2785&gt;H1434))+1</f>
        <v>268</v>
      </c>
    </row>
    <row r="1435" s="1" customFormat="true" customHeight="true" spans="1:10">
      <c r="A1435" s="4" t="str">
        <f t="shared" si="174"/>
        <v>021</v>
      </c>
      <c r="B1435" s="4" t="s">
        <v>33</v>
      </c>
      <c r="C1435" s="4" t="str">
        <f>"田梦瑶"</f>
        <v>田梦瑶</v>
      </c>
      <c r="D1435" s="4" t="str">
        <f>"2021011108"</f>
        <v>2021011108</v>
      </c>
      <c r="E1435" s="4" t="str">
        <f t="shared" si="177"/>
        <v>11</v>
      </c>
      <c r="F1435" s="4" t="str">
        <f>"08"</f>
        <v>08</v>
      </c>
      <c r="G1435" s="4" t="s">
        <v>12</v>
      </c>
      <c r="H1435" s="5">
        <v>0</v>
      </c>
      <c r="I1435" s="6" t="s">
        <v>13</v>
      </c>
      <c r="J1435" s="4">
        <f>SUMPRODUCT(--((A1435=$A$3:$A$2785)*$H$3:$H$2785&gt;H1435))+1</f>
        <v>268</v>
      </c>
    </row>
    <row r="1436" s="1" customFormat="true" customHeight="true" spans="1:10">
      <c r="A1436" s="4" t="str">
        <f t="shared" si="174"/>
        <v>021</v>
      </c>
      <c r="B1436" s="4" t="s">
        <v>33</v>
      </c>
      <c r="C1436" s="4" t="str">
        <f>"马启云"</f>
        <v>马启云</v>
      </c>
      <c r="D1436" s="4" t="str">
        <f>"2021011109"</f>
        <v>2021011109</v>
      </c>
      <c r="E1436" s="4" t="str">
        <f t="shared" si="177"/>
        <v>11</v>
      </c>
      <c r="F1436" s="4" t="str">
        <f>"09"</f>
        <v>09</v>
      </c>
      <c r="G1436" s="4" t="s">
        <v>12</v>
      </c>
      <c r="H1436" s="5">
        <v>0</v>
      </c>
      <c r="I1436" s="6" t="s">
        <v>13</v>
      </c>
      <c r="J1436" s="4">
        <f>SUMPRODUCT(--((A1436=$A$3:$A$2785)*$H$3:$H$2785&gt;H1436))+1</f>
        <v>268</v>
      </c>
    </row>
    <row r="1437" s="1" customFormat="true" customHeight="true" spans="1:10">
      <c r="A1437" s="4" t="str">
        <f t="shared" si="174"/>
        <v>021</v>
      </c>
      <c r="B1437" s="4" t="s">
        <v>33</v>
      </c>
      <c r="C1437" s="4" t="str">
        <f>"瞿松琴"</f>
        <v>瞿松琴</v>
      </c>
      <c r="D1437" s="4" t="str">
        <f>"2021011110"</f>
        <v>2021011110</v>
      </c>
      <c r="E1437" s="4" t="str">
        <f t="shared" si="177"/>
        <v>11</v>
      </c>
      <c r="F1437" s="4" t="str">
        <f>"10"</f>
        <v>10</v>
      </c>
      <c r="G1437" s="4" t="s">
        <v>12</v>
      </c>
      <c r="H1437" s="5">
        <v>0</v>
      </c>
      <c r="I1437" s="6" t="s">
        <v>13</v>
      </c>
      <c r="J1437" s="4">
        <f>SUMPRODUCT(--((A1437=$A$3:$A$2785)*$H$3:$H$2785&gt;H1437))+1</f>
        <v>268</v>
      </c>
    </row>
    <row r="1438" s="1" customFormat="true" customHeight="true" spans="1:10">
      <c r="A1438" s="4" t="str">
        <f t="shared" si="174"/>
        <v>021</v>
      </c>
      <c r="B1438" s="4" t="s">
        <v>33</v>
      </c>
      <c r="C1438" s="4" t="str">
        <f>"杨琳"</f>
        <v>杨琳</v>
      </c>
      <c r="D1438" s="4" t="str">
        <f>"2021011111"</f>
        <v>2021011111</v>
      </c>
      <c r="E1438" s="4" t="str">
        <f t="shared" si="177"/>
        <v>11</v>
      </c>
      <c r="F1438" s="4" t="str">
        <f>"11"</f>
        <v>11</v>
      </c>
      <c r="G1438" s="4" t="s">
        <v>12</v>
      </c>
      <c r="H1438" s="5">
        <v>0</v>
      </c>
      <c r="I1438" s="6" t="s">
        <v>13</v>
      </c>
      <c r="J1438" s="4">
        <f>SUMPRODUCT(--((A1438=$A$3:$A$2785)*$H$3:$H$2785&gt;H1438))+1</f>
        <v>268</v>
      </c>
    </row>
    <row r="1439" s="1" customFormat="true" customHeight="true" spans="1:10">
      <c r="A1439" s="4" t="str">
        <f t="shared" si="174"/>
        <v>021</v>
      </c>
      <c r="B1439" s="4" t="s">
        <v>33</v>
      </c>
      <c r="C1439" s="4" t="str">
        <f>"唐湘"</f>
        <v>唐湘</v>
      </c>
      <c r="D1439" s="4" t="str">
        <f>"2021011113"</f>
        <v>2021011113</v>
      </c>
      <c r="E1439" s="4" t="str">
        <f t="shared" si="177"/>
        <v>11</v>
      </c>
      <c r="F1439" s="4" t="str">
        <f>"13"</f>
        <v>13</v>
      </c>
      <c r="G1439" s="4" t="s">
        <v>12</v>
      </c>
      <c r="H1439" s="5">
        <v>0</v>
      </c>
      <c r="I1439" s="6" t="s">
        <v>13</v>
      </c>
      <c r="J1439" s="4">
        <f>SUMPRODUCT(--((A1439=$A$3:$A$2785)*$H$3:$H$2785&gt;H1439))+1</f>
        <v>268</v>
      </c>
    </row>
    <row r="1440" s="1" customFormat="true" customHeight="true" spans="1:10">
      <c r="A1440" s="4" t="str">
        <f t="shared" si="174"/>
        <v>021</v>
      </c>
      <c r="B1440" s="4" t="s">
        <v>33</v>
      </c>
      <c r="C1440" s="4" t="str">
        <f>"石俊琪"</f>
        <v>石俊琪</v>
      </c>
      <c r="D1440" s="4" t="str">
        <f>"2021011114"</f>
        <v>2021011114</v>
      </c>
      <c r="E1440" s="4" t="str">
        <f t="shared" si="177"/>
        <v>11</v>
      </c>
      <c r="F1440" s="4" t="str">
        <f>"14"</f>
        <v>14</v>
      </c>
      <c r="G1440" s="4" t="s">
        <v>12</v>
      </c>
      <c r="H1440" s="5">
        <v>0</v>
      </c>
      <c r="I1440" s="6" t="s">
        <v>13</v>
      </c>
      <c r="J1440" s="4">
        <f>SUMPRODUCT(--((A1440=$A$3:$A$2785)*$H$3:$H$2785&gt;H1440))+1</f>
        <v>268</v>
      </c>
    </row>
    <row r="1441" s="1" customFormat="true" customHeight="true" spans="1:10">
      <c r="A1441" s="4" t="str">
        <f t="shared" si="174"/>
        <v>021</v>
      </c>
      <c r="B1441" s="4" t="s">
        <v>33</v>
      </c>
      <c r="C1441" s="4" t="str">
        <f>"向金平"</f>
        <v>向金平</v>
      </c>
      <c r="D1441" s="4" t="str">
        <f>"2021011115"</f>
        <v>2021011115</v>
      </c>
      <c r="E1441" s="4" t="str">
        <f t="shared" si="177"/>
        <v>11</v>
      </c>
      <c r="F1441" s="4" t="str">
        <f>"15"</f>
        <v>15</v>
      </c>
      <c r="G1441" s="4" t="s">
        <v>12</v>
      </c>
      <c r="H1441" s="5">
        <v>0</v>
      </c>
      <c r="I1441" s="6" t="s">
        <v>13</v>
      </c>
      <c r="J1441" s="4">
        <f>SUMPRODUCT(--((A1441=$A$3:$A$2785)*$H$3:$H$2785&gt;H1441))+1</f>
        <v>268</v>
      </c>
    </row>
    <row r="1442" s="1" customFormat="true" customHeight="true" spans="1:10">
      <c r="A1442" s="4" t="str">
        <f t="shared" si="174"/>
        <v>021</v>
      </c>
      <c r="B1442" s="4" t="s">
        <v>33</v>
      </c>
      <c r="C1442" s="4" t="str">
        <f>"刘晓燕"</f>
        <v>刘晓燕</v>
      </c>
      <c r="D1442" s="4" t="str">
        <f>"2021011116"</f>
        <v>2021011116</v>
      </c>
      <c r="E1442" s="4" t="str">
        <f t="shared" si="177"/>
        <v>11</v>
      </c>
      <c r="F1442" s="4" t="str">
        <f>"16"</f>
        <v>16</v>
      </c>
      <c r="G1442" s="4" t="s">
        <v>12</v>
      </c>
      <c r="H1442" s="5">
        <v>0</v>
      </c>
      <c r="I1442" s="6" t="s">
        <v>13</v>
      </c>
      <c r="J1442" s="4">
        <f>SUMPRODUCT(--((A1442=$A$3:$A$2785)*$H$3:$H$2785&gt;H1442))+1</f>
        <v>268</v>
      </c>
    </row>
    <row r="1443" s="1" customFormat="true" customHeight="true" spans="1:10">
      <c r="A1443" s="4" t="str">
        <f t="shared" si="174"/>
        <v>021</v>
      </c>
      <c r="B1443" s="4" t="s">
        <v>33</v>
      </c>
      <c r="C1443" s="4" t="str">
        <f>"田粤湘"</f>
        <v>田粤湘</v>
      </c>
      <c r="D1443" s="4" t="str">
        <f>"2021011120"</f>
        <v>2021011120</v>
      </c>
      <c r="E1443" s="4" t="str">
        <f t="shared" si="177"/>
        <v>11</v>
      </c>
      <c r="F1443" s="4" t="str">
        <f>"20"</f>
        <v>20</v>
      </c>
      <c r="G1443" s="4" t="s">
        <v>12</v>
      </c>
      <c r="H1443" s="5">
        <v>0</v>
      </c>
      <c r="I1443" s="6" t="s">
        <v>13</v>
      </c>
      <c r="J1443" s="4">
        <f>SUMPRODUCT(--((A1443=$A$3:$A$2785)*$H$3:$H$2785&gt;H1443))+1</f>
        <v>268</v>
      </c>
    </row>
    <row r="1444" s="1" customFormat="true" customHeight="true" spans="1:10">
      <c r="A1444" s="4" t="str">
        <f t="shared" si="174"/>
        <v>021</v>
      </c>
      <c r="B1444" s="4" t="s">
        <v>33</v>
      </c>
      <c r="C1444" s="4" t="str">
        <f>"唐靖雯"</f>
        <v>唐靖雯</v>
      </c>
      <c r="D1444" s="4" t="str">
        <f>"2021011121"</f>
        <v>2021011121</v>
      </c>
      <c r="E1444" s="4" t="str">
        <f t="shared" si="177"/>
        <v>11</v>
      </c>
      <c r="F1444" s="4" t="str">
        <f>"21"</f>
        <v>21</v>
      </c>
      <c r="G1444" s="4" t="s">
        <v>12</v>
      </c>
      <c r="H1444" s="5">
        <v>0</v>
      </c>
      <c r="I1444" s="6" t="s">
        <v>13</v>
      </c>
      <c r="J1444" s="4">
        <f>SUMPRODUCT(--((A1444=$A$3:$A$2785)*$H$3:$H$2785&gt;H1444))+1</f>
        <v>268</v>
      </c>
    </row>
    <row r="1445" s="1" customFormat="true" customHeight="true" spans="1:10">
      <c r="A1445" s="4" t="str">
        <f t="shared" si="174"/>
        <v>021</v>
      </c>
      <c r="B1445" s="4" t="s">
        <v>33</v>
      </c>
      <c r="C1445" s="4" t="str">
        <f>"王一媚"</f>
        <v>王一媚</v>
      </c>
      <c r="D1445" s="4" t="str">
        <f>"2021011123"</f>
        <v>2021011123</v>
      </c>
      <c r="E1445" s="4" t="str">
        <f t="shared" si="177"/>
        <v>11</v>
      </c>
      <c r="F1445" s="4" t="str">
        <f>"23"</f>
        <v>23</v>
      </c>
      <c r="G1445" s="4" t="s">
        <v>12</v>
      </c>
      <c r="H1445" s="5">
        <v>0</v>
      </c>
      <c r="I1445" s="6" t="s">
        <v>13</v>
      </c>
      <c r="J1445" s="4">
        <f>SUMPRODUCT(--((A1445=$A$3:$A$2785)*$H$3:$H$2785&gt;H1445))+1</f>
        <v>268</v>
      </c>
    </row>
    <row r="1446" s="1" customFormat="true" customHeight="true" spans="1:10">
      <c r="A1446" s="4" t="str">
        <f t="shared" si="174"/>
        <v>021</v>
      </c>
      <c r="B1446" s="4" t="s">
        <v>33</v>
      </c>
      <c r="C1446" s="4" t="str">
        <f>"邱春露"</f>
        <v>邱春露</v>
      </c>
      <c r="D1446" s="4" t="str">
        <f>"2021011125"</f>
        <v>2021011125</v>
      </c>
      <c r="E1446" s="4" t="str">
        <f t="shared" si="177"/>
        <v>11</v>
      </c>
      <c r="F1446" s="4" t="str">
        <f>"25"</f>
        <v>25</v>
      </c>
      <c r="G1446" s="4" t="s">
        <v>12</v>
      </c>
      <c r="H1446" s="5">
        <v>0</v>
      </c>
      <c r="I1446" s="6" t="s">
        <v>13</v>
      </c>
      <c r="J1446" s="4">
        <f>SUMPRODUCT(--((A1446=$A$3:$A$2785)*$H$3:$H$2785&gt;H1446))+1</f>
        <v>268</v>
      </c>
    </row>
    <row r="1447" s="1" customFormat="true" customHeight="true" spans="1:10">
      <c r="A1447" s="4" t="str">
        <f t="shared" si="174"/>
        <v>021</v>
      </c>
      <c r="B1447" s="4" t="s">
        <v>33</v>
      </c>
      <c r="C1447" s="4" t="str">
        <f>"曹远富"</f>
        <v>曹远富</v>
      </c>
      <c r="D1447" s="4" t="str">
        <f>"2021011126"</f>
        <v>2021011126</v>
      </c>
      <c r="E1447" s="4" t="str">
        <f t="shared" si="177"/>
        <v>11</v>
      </c>
      <c r="F1447" s="4" t="str">
        <f>"26"</f>
        <v>26</v>
      </c>
      <c r="G1447" s="4" t="s">
        <v>12</v>
      </c>
      <c r="H1447" s="5">
        <v>0</v>
      </c>
      <c r="I1447" s="6" t="s">
        <v>13</v>
      </c>
      <c r="J1447" s="4">
        <f>SUMPRODUCT(--((A1447=$A$3:$A$2785)*$H$3:$H$2785&gt;H1447))+1</f>
        <v>268</v>
      </c>
    </row>
    <row r="1448" s="1" customFormat="true" customHeight="true" spans="1:10">
      <c r="A1448" s="4" t="str">
        <f t="shared" si="174"/>
        <v>021</v>
      </c>
      <c r="B1448" s="4" t="s">
        <v>33</v>
      </c>
      <c r="C1448" s="4" t="str">
        <f>"蒋思思"</f>
        <v>蒋思思</v>
      </c>
      <c r="D1448" s="4" t="str">
        <f>"2021011129"</f>
        <v>2021011129</v>
      </c>
      <c r="E1448" s="4" t="str">
        <f t="shared" si="177"/>
        <v>11</v>
      </c>
      <c r="F1448" s="4" t="str">
        <f>"29"</f>
        <v>29</v>
      </c>
      <c r="G1448" s="4" t="s">
        <v>12</v>
      </c>
      <c r="H1448" s="5">
        <v>0</v>
      </c>
      <c r="I1448" s="6" t="s">
        <v>13</v>
      </c>
      <c r="J1448" s="4">
        <f>SUMPRODUCT(--((A1448=$A$3:$A$2785)*$H$3:$H$2785&gt;H1448))+1</f>
        <v>268</v>
      </c>
    </row>
    <row r="1449" s="1" customFormat="true" customHeight="true" spans="1:10">
      <c r="A1449" s="4" t="str">
        <f t="shared" si="174"/>
        <v>021</v>
      </c>
      <c r="B1449" s="4" t="s">
        <v>33</v>
      </c>
      <c r="C1449" s="4" t="str">
        <f>"陈红琴"</f>
        <v>陈红琴</v>
      </c>
      <c r="D1449" s="4" t="str">
        <f>"2021011130"</f>
        <v>2021011130</v>
      </c>
      <c r="E1449" s="4" t="str">
        <f t="shared" si="177"/>
        <v>11</v>
      </c>
      <c r="F1449" s="4" t="str">
        <f>"30"</f>
        <v>30</v>
      </c>
      <c r="G1449" s="4" t="s">
        <v>12</v>
      </c>
      <c r="H1449" s="5">
        <v>0</v>
      </c>
      <c r="I1449" s="6" t="s">
        <v>13</v>
      </c>
      <c r="J1449" s="4">
        <f>SUMPRODUCT(--((A1449=$A$3:$A$2785)*$H$3:$H$2785&gt;H1449))+1</f>
        <v>268</v>
      </c>
    </row>
    <row r="1450" s="1" customFormat="true" customHeight="true" spans="1:10">
      <c r="A1450" s="4" t="str">
        <f t="shared" si="174"/>
        <v>021</v>
      </c>
      <c r="B1450" s="4" t="s">
        <v>33</v>
      </c>
      <c r="C1450" s="4" t="str">
        <f>"张荣"</f>
        <v>张荣</v>
      </c>
      <c r="D1450" s="4" t="str">
        <f>"2021011202"</f>
        <v>2021011202</v>
      </c>
      <c r="E1450" s="4" t="str">
        <f t="shared" ref="E1450:E1466" si="178">"12"</f>
        <v>12</v>
      </c>
      <c r="F1450" s="4" t="str">
        <f>"02"</f>
        <v>02</v>
      </c>
      <c r="G1450" s="4" t="s">
        <v>12</v>
      </c>
      <c r="H1450" s="5">
        <v>0</v>
      </c>
      <c r="I1450" s="6" t="s">
        <v>13</v>
      </c>
      <c r="J1450" s="4">
        <f>SUMPRODUCT(--((A1450=$A$3:$A$2785)*$H$3:$H$2785&gt;H1450))+1</f>
        <v>268</v>
      </c>
    </row>
    <row r="1451" s="1" customFormat="true" customHeight="true" spans="1:10">
      <c r="A1451" s="4" t="str">
        <f t="shared" si="174"/>
        <v>021</v>
      </c>
      <c r="B1451" s="4" t="s">
        <v>33</v>
      </c>
      <c r="C1451" s="4" t="str">
        <f>"姜灵燕"</f>
        <v>姜灵燕</v>
      </c>
      <c r="D1451" s="4" t="str">
        <f>"2021011205"</f>
        <v>2021011205</v>
      </c>
      <c r="E1451" s="4" t="str">
        <f t="shared" si="178"/>
        <v>12</v>
      </c>
      <c r="F1451" s="4" t="str">
        <f>"05"</f>
        <v>05</v>
      </c>
      <c r="G1451" s="4" t="s">
        <v>12</v>
      </c>
      <c r="H1451" s="5">
        <v>0</v>
      </c>
      <c r="I1451" s="6" t="s">
        <v>13</v>
      </c>
      <c r="J1451" s="4">
        <f>SUMPRODUCT(--((A1451=$A$3:$A$2785)*$H$3:$H$2785&gt;H1451))+1</f>
        <v>268</v>
      </c>
    </row>
    <row r="1452" s="1" customFormat="true" customHeight="true" spans="1:10">
      <c r="A1452" s="4" t="str">
        <f t="shared" si="174"/>
        <v>021</v>
      </c>
      <c r="B1452" s="4" t="s">
        <v>33</v>
      </c>
      <c r="C1452" s="4" t="str">
        <f>"龙思阳"</f>
        <v>龙思阳</v>
      </c>
      <c r="D1452" s="4" t="str">
        <f>"2021011206"</f>
        <v>2021011206</v>
      </c>
      <c r="E1452" s="4" t="str">
        <f t="shared" si="178"/>
        <v>12</v>
      </c>
      <c r="F1452" s="4" t="str">
        <f>"06"</f>
        <v>06</v>
      </c>
      <c r="G1452" s="4" t="s">
        <v>12</v>
      </c>
      <c r="H1452" s="5">
        <v>0</v>
      </c>
      <c r="I1452" s="6" t="s">
        <v>13</v>
      </c>
      <c r="J1452" s="4">
        <f>SUMPRODUCT(--((A1452=$A$3:$A$2785)*$H$3:$H$2785&gt;H1452))+1</f>
        <v>268</v>
      </c>
    </row>
    <row r="1453" s="1" customFormat="true" customHeight="true" spans="1:10">
      <c r="A1453" s="4" t="str">
        <f t="shared" si="174"/>
        <v>021</v>
      </c>
      <c r="B1453" s="4" t="s">
        <v>33</v>
      </c>
      <c r="C1453" s="4" t="str">
        <f>"万佳慧"</f>
        <v>万佳慧</v>
      </c>
      <c r="D1453" s="4" t="str">
        <f>"2021011207"</f>
        <v>2021011207</v>
      </c>
      <c r="E1453" s="4" t="str">
        <f t="shared" si="178"/>
        <v>12</v>
      </c>
      <c r="F1453" s="4" t="str">
        <f>"07"</f>
        <v>07</v>
      </c>
      <c r="G1453" s="4" t="s">
        <v>12</v>
      </c>
      <c r="H1453" s="5">
        <v>0</v>
      </c>
      <c r="I1453" s="6" t="s">
        <v>13</v>
      </c>
      <c r="J1453" s="4">
        <f>SUMPRODUCT(--((A1453=$A$3:$A$2785)*$H$3:$H$2785&gt;H1453))+1</f>
        <v>268</v>
      </c>
    </row>
    <row r="1454" s="1" customFormat="true" customHeight="true" spans="1:10">
      <c r="A1454" s="4" t="str">
        <f t="shared" si="174"/>
        <v>021</v>
      </c>
      <c r="B1454" s="4" t="s">
        <v>33</v>
      </c>
      <c r="C1454" s="4" t="str">
        <f>"田梦思"</f>
        <v>田梦思</v>
      </c>
      <c r="D1454" s="4" t="str">
        <f>"2021011209"</f>
        <v>2021011209</v>
      </c>
      <c r="E1454" s="4" t="str">
        <f t="shared" si="178"/>
        <v>12</v>
      </c>
      <c r="F1454" s="4" t="str">
        <f>"09"</f>
        <v>09</v>
      </c>
      <c r="G1454" s="4" t="s">
        <v>12</v>
      </c>
      <c r="H1454" s="5">
        <v>0</v>
      </c>
      <c r="I1454" s="6" t="s">
        <v>13</v>
      </c>
      <c r="J1454" s="4">
        <f>SUMPRODUCT(--((A1454=$A$3:$A$2785)*$H$3:$H$2785&gt;H1454))+1</f>
        <v>268</v>
      </c>
    </row>
    <row r="1455" s="1" customFormat="true" customHeight="true" spans="1:10">
      <c r="A1455" s="4" t="str">
        <f t="shared" si="174"/>
        <v>021</v>
      </c>
      <c r="B1455" s="4" t="s">
        <v>33</v>
      </c>
      <c r="C1455" s="4" t="str">
        <f>"张杜杜"</f>
        <v>张杜杜</v>
      </c>
      <c r="D1455" s="4" t="str">
        <f>"2021011213"</f>
        <v>2021011213</v>
      </c>
      <c r="E1455" s="4" t="str">
        <f t="shared" si="178"/>
        <v>12</v>
      </c>
      <c r="F1455" s="4" t="str">
        <f>"13"</f>
        <v>13</v>
      </c>
      <c r="G1455" s="4" t="s">
        <v>12</v>
      </c>
      <c r="H1455" s="5">
        <v>0</v>
      </c>
      <c r="I1455" s="6" t="s">
        <v>13</v>
      </c>
      <c r="J1455" s="4">
        <f>SUMPRODUCT(--((A1455=$A$3:$A$2785)*$H$3:$H$2785&gt;H1455))+1</f>
        <v>268</v>
      </c>
    </row>
    <row r="1456" s="1" customFormat="true" customHeight="true" spans="1:10">
      <c r="A1456" s="4" t="str">
        <f t="shared" si="174"/>
        <v>021</v>
      </c>
      <c r="B1456" s="4" t="s">
        <v>33</v>
      </c>
      <c r="C1456" s="4" t="str">
        <f>"李瑾"</f>
        <v>李瑾</v>
      </c>
      <c r="D1456" s="4" t="str">
        <f>"2021011214"</f>
        <v>2021011214</v>
      </c>
      <c r="E1456" s="4" t="str">
        <f t="shared" si="178"/>
        <v>12</v>
      </c>
      <c r="F1456" s="4" t="str">
        <f>"14"</f>
        <v>14</v>
      </c>
      <c r="G1456" s="4" t="s">
        <v>12</v>
      </c>
      <c r="H1456" s="5">
        <v>0</v>
      </c>
      <c r="I1456" s="6" t="s">
        <v>13</v>
      </c>
      <c r="J1456" s="4">
        <f>SUMPRODUCT(--((A1456=$A$3:$A$2785)*$H$3:$H$2785&gt;H1456))+1</f>
        <v>268</v>
      </c>
    </row>
    <row r="1457" s="1" customFormat="true" customHeight="true" spans="1:10">
      <c r="A1457" s="4" t="str">
        <f t="shared" si="174"/>
        <v>021</v>
      </c>
      <c r="B1457" s="4" t="s">
        <v>33</v>
      </c>
      <c r="C1457" s="4" t="str">
        <f>"李艳玉"</f>
        <v>李艳玉</v>
      </c>
      <c r="D1457" s="4" t="str">
        <f>"2021011216"</f>
        <v>2021011216</v>
      </c>
      <c r="E1457" s="4" t="str">
        <f t="shared" si="178"/>
        <v>12</v>
      </c>
      <c r="F1457" s="4" t="str">
        <f>"16"</f>
        <v>16</v>
      </c>
      <c r="G1457" s="4" t="s">
        <v>12</v>
      </c>
      <c r="H1457" s="5">
        <v>0</v>
      </c>
      <c r="I1457" s="6" t="s">
        <v>13</v>
      </c>
      <c r="J1457" s="4">
        <f>SUMPRODUCT(--((A1457=$A$3:$A$2785)*$H$3:$H$2785&gt;H1457))+1</f>
        <v>268</v>
      </c>
    </row>
    <row r="1458" s="1" customFormat="true" customHeight="true" spans="1:10">
      <c r="A1458" s="4" t="str">
        <f t="shared" si="174"/>
        <v>021</v>
      </c>
      <c r="B1458" s="4" t="s">
        <v>33</v>
      </c>
      <c r="C1458" s="4" t="str">
        <f>"黄芳"</f>
        <v>黄芳</v>
      </c>
      <c r="D1458" s="4" t="str">
        <f>"2021011217"</f>
        <v>2021011217</v>
      </c>
      <c r="E1458" s="4" t="str">
        <f t="shared" si="178"/>
        <v>12</v>
      </c>
      <c r="F1458" s="4" t="str">
        <f>"17"</f>
        <v>17</v>
      </c>
      <c r="G1458" s="4" t="s">
        <v>12</v>
      </c>
      <c r="H1458" s="5">
        <v>0</v>
      </c>
      <c r="I1458" s="6" t="s">
        <v>13</v>
      </c>
      <c r="J1458" s="4">
        <f>SUMPRODUCT(--((A1458=$A$3:$A$2785)*$H$3:$H$2785&gt;H1458))+1</f>
        <v>268</v>
      </c>
    </row>
    <row r="1459" s="1" customFormat="true" customHeight="true" spans="1:10">
      <c r="A1459" s="4" t="str">
        <f t="shared" si="174"/>
        <v>021</v>
      </c>
      <c r="B1459" s="4" t="s">
        <v>33</v>
      </c>
      <c r="C1459" s="4" t="str">
        <f>"田青于"</f>
        <v>田青于</v>
      </c>
      <c r="D1459" s="4" t="str">
        <f>"2021011219"</f>
        <v>2021011219</v>
      </c>
      <c r="E1459" s="4" t="str">
        <f t="shared" si="178"/>
        <v>12</v>
      </c>
      <c r="F1459" s="4" t="str">
        <f>"19"</f>
        <v>19</v>
      </c>
      <c r="G1459" s="4" t="s">
        <v>12</v>
      </c>
      <c r="H1459" s="5">
        <v>0</v>
      </c>
      <c r="I1459" s="6" t="s">
        <v>13</v>
      </c>
      <c r="J1459" s="4">
        <f>SUMPRODUCT(--((A1459=$A$3:$A$2785)*$H$3:$H$2785&gt;H1459))+1</f>
        <v>268</v>
      </c>
    </row>
    <row r="1460" s="1" customFormat="true" customHeight="true" spans="1:10">
      <c r="A1460" s="4" t="str">
        <f t="shared" si="174"/>
        <v>021</v>
      </c>
      <c r="B1460" s="4" t="s">
        <v>33</v>
      </c>
      <c r="C1460" s="4" t="str">
        <f>"陈红梅"</f>
        <v>陈红梅</v>
      </c>
      <c r="D1460" s="4" t="str">
        <f>"2021011220"</f>
        <v>2021011220</v>
      </c>
      <c r="E1460" s="4" t="str">
        <f t="shared" si="178"/>
        <v>12</v>
      </c>
      <c r="F1460" s="4" t="str">
        <f>"20"</f>
        <v>20</v>
      </c>
      <c r="G1460" s="4" t="s">
        <v>12</v>
      </c>
      <c r="H1460" s="5">
        <v>0</v>
      </c>
      <c r="I1460" s="6" t="s">
        <v>13</v>
      </c>
      <c r="J1460" s="4">
        <f>SUMPRODUCT(--((A1460=$A$3:$A$2785)*$H$3:$H$2785&gt;H1460))+1</f>
        <v>268</v>
      </c>
    </row>
    <row r="1461" s="1" customFormat="true" customHeight="true" spans="1:10">
      <c r="A1461" s="4" t="str">
        <f t="shared" si="174"/>
        <v>021</v>
      </c>
      <c r="B1461" s="4" t="s">
        <v>33</v>
      </c>
      <c r="C1461" s="4" t="str">
        <f>"刘佳"</f>
        <v>刘佳</v>
      </c>
      <c r="D1461" s="4" t="str">
        <f>"2021011222"</f>
        <v>2021011222</v>
      </c>
      <c r="E1461" s="4" t="str">
        <f t="shared" si="178"/>
        <v>12</v>
      </c>
      <c r="F1461" s="4" t="str">
        <f>"22"</f>
        <v>22</v>
      </c>
      <c r="G1461" s="4" t="s">
        <v>12</v>
      </c>
      <c r="H1461" s="5">
        <v>0</v>
      </c>
      <c r="I1461" s="6" t="s">
        <v>13</v>
      </c>
      <c r="J1461" s="4">
        <f>SUMPRODUCT(--((A1461=$A$3:$A$2785)*$H$3:$H$2785&gt;H1461))+1</f>
        <v>268</v>
      </c>
    </row>
    <row r="1462" s="1" customFormat="true" customHeight="true" spans="1:10">
      <c r="A1462" s="4" t="str">
        <f t="shared" si="174"/>
        <v>021</v>
      </c>
      <c r="B1462" s="4" t="s">
        <v>33</v>
      </c>
      <c r="C1462" s="4" t="str">
        <f>"王应豪"</f>
        <v>王应豪</v>
      </c>
      <c r="D1462" s="4" t="str">
        <f>"2021011223"</f>
        <v>2021011223</v>
      </c>
      <c r="E1462" s="4" t="str">
        <f t="shared" si="178"/>
        <v>12</v>
      </c>
      <c r="F1462" s="4" t="str">
        <f>"23"</f>
        <v>23</v>
      </c>
      <c r="G1462" s="4" t="s">
        <v>12</v>
      </c>
      <c r="H1462" s="5">
        <v>0</v>
      </c>
      <c r="I1462" s="6" t="s">
        <v>13</v>
      </c>
      <c r="J1462" s="4">
        <f>SUMPRODUCT(--((A1462=$A$3:$A$2785)*$H$3:$H$2785&gt;H1462))+1</f>
        <v>268</v>
      </c>
    </row>
    <row r="1463" s="1" customFormat="true" customHeight="true" spans="1:10">
      <c r="A1463" s="4" t="str">
        <f t="shared" si="174"/>
        <v>021</v>
      </c>
      <c r="B1463" s="4" t="s">
        <v>33</v>
      </c>
      <c r="C1463" s="4" t="str">
        <f>"颜盈颖"</f>
        <v>颜盈颖</v>
      </c>
      <c r="D1463" s="4" t="str">
        <f>"2021011227"</f>
        <v>2021011227</v>
      </c>
      <c r="E1463" s="4" t="str">
        <f t="shared" si="178"/>
        <v>12</v>
      </c>
      <c r="F1463" s="4" t="str">
        <f>"27"</f>
        <v>27</v>
      </c>
      <c r="G1463" s="4" t="s">
        <v>12</v>
      </c>
      <c r="H1463" s="5">
        <v>0</v>
      </c>
      <c r="I1463" s="6" t="s">
        <v>13</v>
      </c>
      <c r="J1463" s="4">
        <f>SUMPRODUCT(--((A1463=$A$3:$A$2785)*$H$3:$H$2785&gt;H1463))+1</f>
        <v>268</v>
      </c>
    </row>
    <row r="1464" s="1" customFormat="true" customHeight="true" spans="1:10">
      <c r="A1464" s="4" t="str">
        <f t="shared" ref="A1464:A1527" si="179">"021"</f>
        <v>021</v>
      </c>
      <c r="B1464" s="4" t="s">
        <v>33</v>
      </c>
      <c r="C1464" s="4" t="str">
        <f>"黄慧莹"</f>
        <v>黄慧莹</v>
      </c>
      <c r="D1464" s="4" t="str">
        <f>"2021011228"</f>
        <v>2021011228</v>
      </c>
      <c r="E1464" s="4" t="str">
        <f t="shared" si="178"/>
        <v>12</v>
      </c>
      <c r="F1464" s="4" t="str">
        <f>"28"</f>
        <v>28</v>
      </c>
      <c r="G1464" s="4" t="s">
        <v>12</v>
      </c>
      <c r="H1464" s="5">
        <v>0</v>
      </c>
      <c r="I1464" s="6" t="s">
        <v>13</v>
      </c>
      <c r="J1464" s="4">
        <f>SUMPRODUCT(--((A1464=$A$3:$A$2785)*$H$3:$H$2785&gt;H1464))+1</f>
        <v>268</v>
      </c>
    </row>
    <row r="1465" s="1" customFormat="true" customHeight="true" spans="1:10">
      <c r="A1465" s="4" t="str">
        <f t="shared" si="179"/>
        <v>021</v>
      </c>
      <c r="B1465" s="4" t="s">
        <v>33</v>
      </c>
      <c r="C1465" s="4" t="str">
        <f>"杨丽萍"</f>
        <v>杨丽萍</v>
      </c>
      <c r="D1465" s="4" t="str">
        <f>"2021011229"</f>
        <v>2021011229</v>
      </c>
      <c r="E1465" s="4" t="str">
        <f t="shared" si="178"/>
        <v>12</v>
      </c>
      <c r="F1465" s="4" t="str">
        <f>"29"</f>
        <v>29</v>
      </c>
      <c r="G1465" s="4" t="s">
        <v>12</v>
      </c>
      <c r="H1465" s="5">
        <v>0</v>
      </c>
      <c r="I1465" s="6" t="s">
        <v>13</v>
      </c>
      <c r="J1465" s="4">
        <f>SUMPRODUCT(--((A1465=$A$3:$A$2785)*$H$3:$H$2785&gt;H1465))+1</f>
        <v>268</v>
      </c>
    </row>
    <row r="1466" s="1" customFormat="true" customHeight="true" spans="1:10">
      <c r="A1466" s="4" t="str">
        <f t="shared" si="179"/>
        <v>021</v>
      </c>
      <c r="B1466" s="4" t="s">
        <v>33</v>
      </c>
      <c r="C1466" s="4" t="str">
        <f>"段婷婷"</f>
        <v>段婷婷</v>
      </c>
      <c r="D1466" s="4" t="str">
        <f>"2021011230"</f>
        <v>2021011230</v>
      </c>
      <c r="E1466" s="4" t="str">
        <f t="shared" si="178"/>
        <v>12</v>
      </c>
      <c r="F1466" s="4" t="str">
        <f>"30"</f>
        <v>30</v>
      </c>
      <c r="G1466" s="4" t="s">
        <v>12</v>
      </c>
      <c r="H1466" s="5">
        <v>0</v>
      </c>
      <c r="I1466" s="6" t="s">
        <v>13</v>
      </c>
      <c r="J1466" s="4">
        <f>SUMPRODUCT(--((A1466=$A$3:$A$2785)*$H$3:$H$2785&gt;H1466))+1</f>
        <v>268</v>
      </c>
    </row>
    <row r="1467" s="1" customFormat="true" customHeight="true" spans="1:10">
      <c r="A1467" s="4" t="str">
        <f t="shared" si="179"/>
        <v>021</v>
      </c>
      <c r="B1467" s="4" t="s">
        <v>33</v>
      </c>
      <c r="C1467" s="4" t="str">
        <f>"张璐"</f>
        <v>张璐</v>
      </c>
      <c r="D1467" s="4" t="str">
        <f>"2021011301"</f>
        <v>2021011301</v>
      </c>
      <c r="E1467" s="4" t="str">
        <f t="shared" ref="E1467:E1482" si="180">"13"</f>
        <v>13</v>
      </c>
      <c r="F1467" s="4" t="str">
        <f>"01"</f>
        <v>01</v>
      </c>
      <c r="G1467" s="4" t="s">
        <v>12</v>
      </c>
      <c r="H1467" s="5">
        <v>0</v>
      </c>
      <c r="I1467" s="6" t="s">
        <v>13</v>
      </c>
      <c r="J1467" s="4">
        <f>SUMPRODUCT(--((A1467=$A$3:$A$2785)*$H$3:$H$2785&gt;H1467))+1</f>
        <v>268</v>
      </c>
    </row>
    <row r="1468" s="1" customFormat="true" customHeight="true" spans="1:10">
      <c r="A1468" s="4" t="str">
        <f t="shared" si="179"/>
        <v>021</v>
      </c>
      <c r="B1468" s="4" t="s">
        <v>33</v>
      </c>
      <c r="C1468" s="4" t="str">
        <f>"杨淑贤"</f>
        <v>杨淑贤</v>
      </c>
      <c r="D1468" s="4" t="str">
        <f>"2021011302"</f>
        <v>2021011302</v>
      </c>
      <c r="E1468" s="4" t="str">
        <f t="shared" si="180"/>
        <v>13</v>
      </c>
      <c r="F1468" s="4" t="str">
        <f>"02"</f>
        <v>02</v>
      </c>
      <c r="G1468" s="4" t="s">
        <v>12</v>
      </c>
      <c r="H1468" s="5">
        <v>0</v>
      </c>
      <c r="I1468" s="6" t="s">
        <v>13</v>
      </c>
      <c r="J1468" s="4">
        <f>SUMPRODUCT(--((A1468=$A$3:$A$2785)*$H$3:$H$2785&gt;H1468))+1</f>
        <v>268</v>
      </c>
    </row>
    <row r="1469" s="1" customFormat="true" customHeight="true" spans="1:10">
      <c r="A1469" s="4" t="str">
        <f t="shared" si="179"/>
        <v>021</v>
      </c>
      <c r="B1469" s="4" t="s">
        <v>33</v>
      </c>
      <c r="C1469" s="4" t="str">
        <f>"何沅靖"</f>
        <v>何沅靖</v>
      </c>
      <c r="D1469" s="4" t="str">
        <f>"2021011303"</f>
        <v>2021011303</v>
      </c>
      <c r="E1469" s="4" t="str">
        <f t="shared" si="180"/>
        <v>13</v>
      </c>
      <c r="F1469" s="4" t="str">
        <f>"03"</f>
        <v>03</v>
      </c>
      <c r="G1469" s="4" t="s">
        <v>12</v>
      </c>
      <c r="H1469" s="5">
        <v>0</v>
      </c>
      <c r="I1469" s="6" t="s">
        <v>13</v>
      </c>
      <c r="J1469" s="4">
        <f>SUMPRODUCT(--((A1469=$A$3:$A$2785)*$H$3:$H$2785&gt;H1469))+1</f>
        <v>268</v>
      </c>
    </row>
    <row r="1470" s="1" customFormat="true" customHeight="true" spans="1:10">
      <c r="A1470" s="4" t="str">
        <f t="shared" si="179"/>
        <v>021</v>
      </c>
      <c r="B1470" s="4" t="s">
        <v>33</v>
      </c>
      <c r="C1470" s="4" t="str">
        <f>"王丽娜"</f>
        <v>王丽娜</v>
      </c>
      <c r="D1470" s="4" t="str">
        <f>"2021011304"</f>
        <v>2021011304</v>
      </c>
      <c r="E1470" s="4" t="str">
        <f t="shared" si="180"/>
        <v>13</v>
      </c>
      <c r="F1470" s="4" t="str">
        <f>"04"</f>
        <v>04</v>
      </c>
      <c r="G1470" s="4" t="s">
        <v>12</v>
      </c>
      <c r="H1470" s="5">
        <v>0</v>
      </c>
      <c r="I1470" s="6" t="s">
        <v>13</v>
      </c>
      <c r="J1470" s="4">
        <f>SUMPRODUCT(--((A1470=$A$3:$A$2785)*$H$3:$H$2785&gt;H1470))+1</f>
        <v>268</v>
      </c>
    </row>
    <row r="1471" s="1" customFormat="true" customHeight="true" spans="1:10">
      <c r="A1471" s="4" t="str">
        <f t="shared" si="179"/>
        <v>021</v>
      </c>
      <c r="B1471" s="4" t="s">
        <v>33</v>
      </c>
      <c r="C1471" s="4" t="str">
        <f>"李曌豪"</f>
        <v>李曌豪</v>
      </c>
      <c r="D1471" s="4" t="str">
        <f>"2021011305"</f>
        <v>2021011305</v>
      </c>
      <c r="E1471" s="4" t="str">
        <f t="shared" si="180"/>
        <v>13</v>
      </c>
      <c r="F1471" s="4" t="str">
        <f>"05"</f>
        <v>05</v>
      </c>
      <c r="G1471" s="4" t="s">
        <v>12</v>
      </c>
      <c r="H1471" s="5">
        <v>0</v>
      </c>
      <c r="I1471" s="6" t="s">
        <v>13</v>
      </c>
      <c r="J1471" s="4">
        <f>SUMPRODUCT(--((A1471=$A$3:$A$2785)*$H$3:$H$2785&gt;H1471))+1</f>
        <v>268</v>
      </c>
    </row>
    <row r="1472" s="1" customFormat="true" customHeight="true" spans="1:10">
      <c r="A1472" s="4" t="str">
        <f t="shared" si="179"/>
        <v>021</v>
      </c>
      <c r="B1472" s="4" t="s">
        <v>33</v>
      </c>
      <c r="C1472" s="4" t="str">
        <f>"宋瑾乐"</f>
        <v>宋瑾乐</v>
      </c>
      <c r="D1472" s="4" t="str">
        <f>"2021011307"</f>
        <v>2021011307</v>
      </c>
      <c r="E1472" s="4" t="str">
        <f t="shared" si="180"/>
        <v>13</v>
      </c>
      <c r="F1472" s="4" t="str">
        <f>"07"</f>
        <v>07</v>
      </c>
      <c r="G1472" s="4" t="s">
        <v>12</v>
      </c>
      <c r="H1472" s="5">
        <v>0</v>
      </c>
      <c r="I1472" s="6" t="s">
        <v>13</v>
      </c>
      <c r="J1472" s="4">
        <f>SUMPRODUCT(--((A1472=$A$3:$A$2785)*$H$3:$H$2785&gt;H1472))+1</f>
        <v>268</v>
      </c>
    </row>
    <row r="1473" s="1" customFormat="true" customHeight="true" spans="1:10">
      <c r="A1473" s="4" t="str">
        <f t="shared" si="179"/>
        <v>021</v>
      </c>
      <c r="B1473" s="4" t="s">
        <v>33</v>
      </c>
      <c r="C1473" s="4" t="str">
        <f>"杨梦"</f>
        <v>杨梦</v>
      </c>
      <c r="D1473" s="4" t="str">
        <f>"2021011308"</f>
        <v>2021011308</v>
      </c>
      <c r="E1473" s="4" t="str">
        <f t="shared" si="180"/>
        <v>13</v>
      </c>
      <c r="F1473" s="4" t="str">
        <f>"08"</f>
        <v>08</v>
      </c>
      <c r="G1473" s="4" t="s">
        <v>12</v>
      </c>
      <c r="H1473" s="5">
        <v>0</v>
      </c>
      <c r="I1473" s="6" t="s">
        <v>13</v>
      </c>
      <c r="J1473" s="4">
        <f>SUMPRODUCT(--((A1473=$A$3:$A$2785)*$H$3:$H$2785&gt;H1473))+1</f>
        <v>268</v>
      </c>
    </row>
    <row r="1474" s="1" customFormat="true" customHeight="true" spans="1:10">
      <c r="A1474" s="4" t="str">
        <f t="shared" si="179"/>
        <v>021</v>
      </c>
      <c r="B1474" s="4" t="s">
        <v>33</v>
      </c>
      <c r="C1474" s="4" t="str">
        <f>"罗一娟"</f>
        <v>罗一娟</v>
      </c>
      <c r="D1474" s="4" t="str">
        <f>"2021011309"</f>
        <v>2021011309</v>
      </c>
      <c r="E1474" s="4" t="str">
        <f t="shared" si="180"/>
        <v>13</v>
      </c>
      <c r="F1474" s="4" t="str">
        <f>"09"</f>
        <v>09</v>
      </c>
      <c r="G1474" s="4" t="s">
        <v>12</v>
      </c>
      <c r="H1474" s="5">
        <v>0</v>
      </c>
      <c r="I1474" s="6" t="s">
        <v>13</v>
      </c>
      <c r="J1474" s="4">
        <f>SUMPRODUCT(--((A1474=$A$3:$A$2785)*$H$3:$H$2785&gt;H1474))+1</f>
        <v>268</v>
      </c>
    </row>
    <row r="1475" s="1" customFormat="true" customHeight="true" spans="1:10">
      <c r="A1475" s="4" t="str">
        <f t="shared" si="179"/>
        <v>021</v>
      </c>
      <c r="B1475" s="4" t="s">
        <v>33</v>
      </c>
      <c r="C1475" s="4" t="str">
        <f>"彭颖"</f>
        <v>彭颖</v>
      </c>
      <c r="D1475" s="4" t="str">
        <f>"2021011310"</f>
        <v>2021011310</v>
      </c>
      <c r="E1475" s="4" t="str">
        <f t="shared" si="180"/>
        <v>13</v>
      </c>
      <c r="F1475" s="4" t="str">
        <f>"10"</f>
        <v>10</v>
      </c>
      <c r="G1475" s="4" t="s">
        <v>12</v>
      </c>
      <c r="H1475" s="5">
        <v>0</v>
      </c>
      <c r="I1475" s="6" t="s">
        <v>13</v>
      </c>
      <c r="J1475" s="4">
        <f>SUMPRODUCT(--((A1475=$A$3:$A$2785)*$H$3:$H$2785&gt;H1475))+1</f>
        <v>268</v>
      </c>
    </row>
    <row r="1476" s="1" customFormat="true" customHeight="true" spans="1:10">
      <c r="A1476" s="4" t="str">
        <f t="shared" si="179"/>
        <v>021</v>
      </c>
      <c r="B1476" s="4" t="s">
        <v>33</v>
      </c>
      <c r="C1476" s="4" t="str">
        <f>"龙珍"</f>
        <v>龙珍</v>
      </c>
      <c r="D1476" s="4" t="str">
        <f>"2021011314"</f>
        <v>2021011314</v>
      </c>
      <c r="E1476" s="4" t="str">
        <f t="shared" si="180"/>
        <v>13</v>
      </c>
      <c r="F1476" s="4" t="str">
        <f>"14"</f>
        <v>14</v>
      </c>
      <c r="G1476" s="4" t="s">
        <v>12</v>
      </c>
      <c r="H1476" s="5">
        <v>0</v>
      </c>
      <c r="I1476" s="6" t="s">
        <v>13</v>
      </c>
      <c r="J1476" s="4">
        <f>SUMPRODUCT(--((A1476=$A$3:$A$2785)*$H$3:$H$2785&gt;H1476))+1</f>
        <v>268</v>
      </c>
    </row>
    <row r="1477" s="1" customFormat="true" customHeight="true" spans="1:10">
      <c r="A1477" s="4" t="str">
        <f t="shared" si="179"/>
        <v>021</v>
      </c>
      <c r="B1477" s="4" t="s">
        <v>33</v>
      </c>
      <c r="C1477" s="4" t="str">
        <f>"周银红"</f>
        <v>周银红</v>
      </c>
      <c r="D1477" s="4" t="str">
        <f>"2021011319"</f>
        <v>2021011319</v>
      </c>
      <c r="E1477" s="4" t="str">
        <f t="shared" si="180"/>
        <v>13</v>
      </c>
      <c r="F1477" s="4" t="str">
        <f>"19"</f>
        <v>19</v>
      </c>
      <c r="G1477" s="4" t="s">
        <v>12</v>
      </c>
      <c r="H1477" s="5">
        <v>0</v>
      </c>
      <c r="I1477" s="6" t="s">
        <v>13</v>
      </c>
      <c r="J1477" s="4">
        <f>SUMPRODUCT(--((A1477=$A$3:$A$2785)*$H$3:$H$2785&gt;H1477))+1</f>
        <v>268</v>
      </c>
    </row>
    <row r="1478" s="1" customFormat="true" customHeight="true" spans="1:10">
      <c r="A1478" s="4" t="str">
        <f t="shared" si="179"/>
        <v>021</v>
      </c>
      <c r="B1478" s="4" t="s">
        <v>33</v>
      </c>
      <c r="C1478" s="4" t="str">
        <f>"徐冠军"</f>
        <v>徐冠军</v>
      </c>
      <c r="D1478" s="4" t="str">
        <f>"2021011320"</f>
        <v>2021011320</v>
      </c>
      <c r="E1478" s="4" t="str">
        <f t="shared" si="180"/>
        <v>13</v>
      </c>
      <c r="F1478" s="4" t="str">
        <f>"20"</f>
        <v>20</v>
      </c>
      <c r="G1478" s="4" t="s">
        <v>12</v>
      </c>
      <c r="H1478" s="5">
        <v>0</v>
      </c>
      <c r="I1478" s="6" t="s">
        <v>13</v>
      </c>
      <c r="J1478" s="4">
        <f>SUMPRODUCT(--((A1478=$A$3:$A$2785)*$H$3:$H$2785&gt;H1478))+1</f>
        <v>268</v>
      </c>
    </row>
    <row r="1479" s="1" customFormat="true" customHeight="true" spans="1:10">
      <c r="A1479" s="4" t="str">
        <f t="shared" si="179"/>
        <v>021</v>
      </c>
      <c r="B1479" s="4" t="s">
        <v>33</v>
      </c>
      <c r="C1479" s="4" t="str">
        <f>"金仕晔"</f>
        <v>金仕晔</v>
      </c>
      <c r="D1479" s="4" t="str">
        <f>"2021011322"</f>
        <v>2021011322</v>
      </c>
      <c r="E1479" s="4" t="str">
        <f t="shared" si="180"/>
        <v>13</v>
      </c>
      <c r="F1479" s="4" t="str">
        <f>"22"</f>
        <v>22</v>
      </c>
      <c r="G1479" s="4" t="s">
        <v>12</v>
      </c>
      <c r="H1479" s="5">
        <v>0</v>
      </c>
      <c r="I1479" s="6" t="s">
        <v>13</v>
      </c>
      <c r="J1479" s="4">
        <f>SUMPRODUCT(--((A1479=$A$3:$A$2785)*$H$3:$H$2785&gt;H1479))+1</f>
        <v>268</v>
      </c>
    </row>
    <row r="1480" s="1" customFormat="true" customHeight="true" spans="1:10">
      <c r="A1480" s="4" t="str">
        <f t="shared" si="179"/>
        <v>021</v>
      </c>
      <c r="B1480" s="4" t="s">
        <v>33</v>
      </c>
      <c r="C1480" s="4" t="str">
        <f>"戴重英"</f>
        <v>戴重英</v>
      </c>
      <c r="D1480" s="4" t="str">
        <f>"2021011328"</f>
        <v>2021011328</v>
      </c>
      <c r="E1480" s="4" t="str">
        <f t="shared" si="180"/>
        <v>13</v>
      </c>
      <c r="F1480" s="4" t="str">
        <f>"28"</f>
        <v>28</v>
      </c>
      <c r="G1480" s="4" t="s">
        <v>12</v>
      </c>
      <c r="H1480" s="5">
        <v>0</v>
      </c>
      <c r="I1480" s="6" t="s">
        <v>13</v>
      </c>
      <c r="J1480" s="4">
        <f>SUMPRODUCT(--((A1480=$A$3:$A$2785)*$H$3:$H$2785&gt;H1480))+1</f>
        <v>268</v>
      </c>
    </row>
    <row r="1481" s="1" customFormat="true" customHeight="true" spans="1:10">
      <c r="A1481" s="4" t="str">
        <f t="shared" si="179"/>
        <v>021</v>
      </c>
      <c r="B1481" s="4" t="s">
        <v>33</v>
      </c>
      <c r="C1481" s="4" t="str">
        <f>"欧碧宇"</f>
        <v>欧碧宇</v>
      </c>
      <c r="D1481" s="4" t="str">
        <f>"2021011329"</f>
        <v>2021011329</v>
      </c>
      <c r="E1481" s="4" t="str">
        <f t="shared" si="180"/>
        <v>13</v>
      </c>
      <c r="F1481" s="4" t="str">
        <f>"29"</f>
        <v>29</v>
      </c>
      <c r="G1481" s="4" t="s">
        <v>12</v>
      </c>
      <c r="H1481" s="5">
        <v>0</v>
      </c>
      <c r="I1481" s="6" t="s">
        <v>13</v>
      </c>
      <c r="J1481" s="4">
        <f>SUMPRODUCT(--((A1481=$A$3:$A$2785)*$H$3:$H$2785&gt;H1481))+1</f>
        <v>268</v>
      </c>
    </row>
    <row r="1482" s="1" customFormat="true" customHeight="true" spans="1:10">
      <c r="A1482" s="4" t="str">
        <f t="shared" si="179"/>
        <v>021</v>
      </c>
      <c r="B1482" s="4" t="s">
        <v>33</v>
      </c>
      <c r="C1482" s="4" t="str">
        <f>"张春霞"</f>
        <v>张春霞</v>
      </c>
      <c r="D1482" s="4" t="str">
        <f>"2021011330"</f>
        <v>2021011330</v>
      </c>
      <c r="E1482" s="4" t="str">
        <f t="shared" si="180"/>
        <v>13</v>
      </c>
      <c r="F1482" s="4" t="str">
        <f>"30"</f>
        <v>30</v>
      </c>
      <c r="G1482" s="4" t="s">
        <v>12</v>
      </c>
      <c r="H1482" s="5">
        <v>0</v>
      </c>
      <c r="I1482" s="6" t="s">
        <v>13</v>
      </c>
      <c r="J1482" s="4">
        <f>SUMPRODUCT(--((A1482=$A$3:$A$2785)*$H$3:$H$2785&gt;H1482))+1</f>
        <v>268</v>
      </c>
    </row>
    <row r="1483" s="1" customFormat="true" customHeight="true" spans="1:10">
      <c r="A1483" s="4" t="str">
        <f t="shared" si="179"/>
        <v>021</v>
      </c>
      <c r="B1483" s="4" t="s">
        <v>33</v>
      </c>
      <c r="C1483" s="4" t="str">
        <f>"周羽敏"</f>
        <v>周羽敏</v>
      </c>
      <c r="D1483" s="4" t="str">
        <f>"2021011402"</f>
        <v>2021011402</v>
      </c>
      <c r="E1483" s="4" t="str">
        <f t="shared" ref="E1483:E1496" si="181">"14"</f>
        <v>14</v>
      </c>
      <c r="F1483" s="4" t="str">
        <f>"02"</f>
        <v>02</v>
      </c>
      <c r="G1483" s="4" t="s">
        <v>12</v>
      </c>
      <c r="H1483" s="5">
        <v>0</v>
      </c>
      <c r="I1483" s="6" t="s">
        <v>13</v>
      </c>
      <c r="J1483" s="4">
        <f>SUMPRODUCT(--((A1483=$A$3:$A$2785)*$H$3:$H$2785&gt;H1483))+1</f>
        <v>268</v>
      </c>
    </row>
    <row r="1484" s="1" customFormat="true" customHeight="true" spans="1:10">
      <c r="A1484" s="4" t="str">
        <f t="shared" si="179"/>
        <v>021</v>
      </c>
      <c r="B1484" s="4" t="s">
        <v>33</v>
      </c>
      <c r="C1484" s="4" t="str">
        <f>"王艳"</f>
        <v>王艳</v>
      </c>
      <c r="D1484" s="4" t="str">
        <f>"2021011405"</f>
        <v>2021011405</v>
      </c>
      <c r="E1484" s="4" t="str">
        <f t="shared" si="181"/>
        <v>14</v>
      </c>
      <c r="F1484" s="4" t="str">
        <f>"05"</f>
        <v>05</v>
      </c>
      <c r="G1484" s="4" t="s">
        <v>12</v>
      </c>
      <c r="H1484" s="5">
        <v>0</v>
      </c>
      <c r="I1484" s="6" t="s">
        <v>13</v>
      </c>
      <c r="J1484" s="4">
        <f>SUMPRODUCT(--((A1484=$A$3:$A$2785)*$H$3:$H$2785&gt;H1484))+1</f>
        <v>268</v>
      </c>
    </row>
    <row r="1485" s="1" customFormat="true" customHeight="true" spans="1:10">
      <c r="A1485" s="4" t="str">
        <f t="shared" si="179"/>
        <v>021</v>
      </c>
      <c r="B1485" s="4" t="s">
        <v>33</v>
      </c>
      <c r="C1485" s="4" t="str">
        <f>"李荣"</f>
        <v>李荣</v>
      </c>
      <c r="D1485" s="4" t="str">
        <f>"2021011408"</f>
        <v>2021011408</v>
      </c>
      <c r="E1485" s="4" t="str">
        <f t="shared" si="181"/>
        <v>14</v>
      </c>
      <c r="F1485" s="4" t="str">
        <f>"08"</f>
        <v>08</v>
      </c>
      <c r="G1485" s="4" t="s">
        <v>12</v>
      </c>
      <c r="H1485" s="5">
        <v>0</v>
      </c>
      <c r="I1485" s="6" t="s">
        <v>13</v>
      </c>
      <c r="J1485" s="4">
        <f>SUMPRODUCT(--((A1485=$A$3:$A$2785)*$H$3:$H$2785&gt;H1485))+1</f>
        <v>268</v>
      </c>
    </row>
    <row r="1486" s="1" customFormat="true" customHeight="true" spans="1:10">
      <c r="A1486" s="4" t="str">
        <f t="shared" si="179"/>
        <v>021</v>
      </c>
      <c r="B1486" s="4" t="s">
        <v>33</v>
      </c>
      <c r="C1486" s="4" t="str">
        <f>"王洋"</f>
        <v>王洋</v>
      </c>
      <c r="D1486" s="4" t="str">
        <f>"2021011409"</f>
        <v>2021011409</v>
      </c>
      <c r="E1486" s="4" t="str">
        <f t="shared" si="181"/>
        <v>14</v>
      </c>
      <c r="F1486" s="4" t="str">
        <f>"09"</f>
        <v>09</v>
      </c>
      <c r="G1486" s="4" t="s">
        <v>12</v>
      </c>
      <c r="H1486" s="5">
        <v>0</v>
      </c>
      <c r="I1486" s="6" t="s">
        <v>13</v>
      </c>
      <c r="J1486" s="4">
        <f>SUMPRODUCT(--((A1486=$A$3:$A$2785)*$H$3:$H$2785&gt;H1486))+1</f>
        <v>268</v>
      </c>
    </row>
    <row r="1487" s="1" customFormat="true" customHeight="true" spans="1:10">
      <c r="A1487" s="4" t="str">
        <f t="shared" si="179"/>
        <v>021</v>
      </c>
      <c r="B1487" s="4" t="s">
        <v>33</v>
      </c>
      <c r="C1487" s="4" t="str">
        <f>"龙小芳"</f>
        <v>龙小芳</v>
      </c>
      <c r="D1487" s="4" t="str">
        <f>"2021011410"</f>
        <v>2021011410</v>
      </c>
      <c r="E1487" s="4" t="str">
        <f t="shared" si="181"/>
        <v>14</v>
      </c>
      <c r="F1487" s="4" t="str">
        <f>"10"</f>
        <v>10</v>
      </c>
      <c r="G1487" s="4" t="s">
        <v>12</v>
      </c>
      <c r="H1487" s="5">
        <v>0</v>
      </c>
      <c r="I1487" s="6" t="s">
        <v>13</v>
      </c>
      <c r="J1487" s="4">
        <f>SUMPRODUCT(--((A1487=$A$3:$A$2785)*$H$3:$H$2785&gt;H1487))+1</f>
        <v>268</v>
      </c>
    </row>
    <row r="1488" s="1" customFormat="true" customHeight="true" spans="1:10">
      <c r="A1488" s="4" t="str">
        <f t="shared" si="179"/>
        <v>021</v>
      </c>
      <c r="B1488" s="4" t="s">
        <v>33</v>
      </c>
      <c r="C1488" s="4" t="str">
        <f>"邓亚玲"</f>
        <v>邓亚玲</v>
      </c>
      <c r="D1488" s="4" t="str">
        <f>"2021011411"</f>
        <v>2021011411</v>
      </c>
      <c r="E1488" s="4" t="str">
        <f t="shared" si="181"/>
        <v>14</v>
      </c>
      <c r="F1488" s="4" t="str">
        <f>"11"</f>
        <v>11</v>
      </c>
      <c r="G1488" s="4" t="s">
        <v>12</v>
      </c>
      <c r="H1488" s="5">
        <v>0</v>
      </c>
      <c r="I1488" s="6" t="s">
        <v>13</v>
      </c>
      <c r="J1488" s="4">
        <f>SUMPRODUCT(--((A1488=$A$3:$A$2785)*$H$3:$H$2785&gt;H1488))+1</f>
        <v>268</v>
      </c>
    </row>
    <row r="1489" s="1" customFormat="true" customHeight="true" spans="1:10">
      <c r="A1489" s="4" t="str">
        <f t="shared" si="179"/>
        <v>021</v>
      </c>
      <c r="B1489" s="4" t="s">
        <v>33</v>
      </c>
      <c r="C1489" s="4" t="str">
        <f>"谢思龙"</f>
        <v>谢思龙</v>
      </c>
      <c r="D1489" s="4" t="str">
        <f>"2021011413"</f>
        <v>2021011413</v>
      </c>
      <c r="E1489" s="4" t="str">
        <f t="shared" si="181"/>
        <v>14</v>
      </c>
      <c r="F1489" s="4" t="str">
        <f>"13"</f>
        <v>13</v>
      </c>
      <c r="G1489" s="4" t="s">
        <v>12</v>
      </c>
      <c r="H1489" s="5">
        <v>0</v>
      </c>
      <c r="I1489" s="6" t="s">
        <v>13</v>
      </c>
      <c r="J1489" s="4">
        <f>SUMPRODUCT(--((A1489=$A$3:$A$2785)*$H$3:$H$2785&gt;H1489))+1</f>
        <v>268</v>
      </c>
    </row>
    <row r="1490" s="1" customFormat="true" customHeight="true" spans="1:10">
      <c r="A1490" s="4" t="str">
        <f t="shared" si="179"/>
        <v>021</v>
      </c>
      <c r="B1490" s="4" t="s">
        <v>33</v>
      </c>
      <c r="C1490" s="4" t="str">
        <f>"易杨东林"</f>
        <v>易杨东林</v>
      </c>
      <c r="D1490" s="4" t="str">
        <f>"2021011415"</f>
        <v>2021011415</v>
      </c>
      <c r="E1490" s="4" t="str">
        <f t="shared" si="181"/>
        <v>14</v>
      </c>
      <c r="F1490" s="4" t="str">
        <f>"15"</f>
        <v>15</v>
      </c>
      <c r="G1490" s="4" t="s">
        <v>12</v>
      </c>
      <c r="H1490" s="5">
        <v>0</v>
      </c>
      <c r="I1490" s="6" t="s">
        <v>13</v>
      </c>
      <c r="J1490" s="4">
        <f>SUMPRODUCT(--((A1490=$A$3:$A$2785)*$H$3:$H$2785&gt;H1490))+1</f>
        <v>268</v>
      </c>
    </row>
    <row r="1491" s="1" customFormat="true" customHeight="true" spans="1:10">
      <c r="A1491" s="4" t="str">
        <f t="shared" si="179"/>
        <v>021</v>
      </c>
      <c r="B1491" s="4" t="s">
        <v>33</v>
      </c>
      <c r="C1491" s="4" t="str">
        <f>"李萍"</f>
        <v>李萍</v>
      </c>
      <c r="D1491" s="4" t="str">
        <f>"2021011417"</f>
        <v>2021011417</v>
      </c>
      <c r="E1491" s="4" t="str">
        <f t="shared" si="181"/>
        <v>14</v>
      </c>
      <c r="F1491" s="4" t="str">
        <f>"17"</f>
        <v>17</v>
      </c>
      <c r="G1491" s="4" t="s">
        <v>12</v>
      </c>
      <c r="H1491" s="5">
        <v>0</v>
      </c>
      <c r="I1491" s="6" t="s">
        <v>13</v>
      </c>
      <c r="J1491" s="4">
        <f>SUMPRODUCT(--((A1491=$A$3:$A$2785)*$H$3:$H$2785&gt;H1491))+1</f>
        <v>268</v>
      </c>
    </row>
    <row r="1492" s="1" customFormat="true" customHeight="true" spans="1:10">
      <c r="A1492" s="4" t="str">
        <f t="shared" si="179"/>
        <v>021</v>
      </c>
      <c r="B1492" s="4" t="s">
        <v>33</v>
      </c>
      <c r="C1492" s="4" t="str">
        <f>"刘铮"</f>
        <v>刘铮</v>
      </c>
      <c r="D1492" s="4" t="str">
        <f>"2021011419"</f>
        <v>2021011419</v>
      </c>
      <c r="E1492" s="4" t="str">
        <f t="shared" si="181"/>
        <v>14</v>
      </c>
      <c r="F1492" s="4" t="str">
        <f>"19"</f>
        <v>19</v>
      </c>
      <c r="G1492" s="4" t="s">
        <v>12</v>
      </c>
      <c r="H1492" s="5">
        <v>0</v>
      </c>
      <c r="I1492" s="6" t="s">
        <v>13</v>
      </c>
      <c r="J1492" s="4">
        <f>SUMPRODUCT(--((A1492=$A$3:$A$2785)*$H$3:$H$2785&gt;H1492))+1</f>
        <v>268</v>
      </c>
    </row>
    <row r="1493" s="1" customFormat="true" customHeight="true" spans="1:10">
      <c r="A1493" s="4" t="str">
        <f t="shared" si="179"/>
        <v>021</v>
      </c>
      <c r="B1493" s="4" t="s">
        <v>33</v>
      </c>
      <c r="C1493" s="4" t="str">
        <f>"梁文玉"</f>
        <v>梁文玉</v>
      </c>
      <c r="D1493" s="4" t="str">
        <f>"2021011421"</f>
        <v>2021011421</v>
      </c>
      <c r="E1493" s="4" t="str">
        <f t="shared" si="181"/>
        <v>14</v>
      </c>
      <c r="F1493" s="4" t="str">
        <f>"21"</f>
        <v>21</v>
      </c>
      <c r="G1493" s="4" t="s">
        <v>12</v>
      </c>
      <c r="H1493" s="5">
        <v>0</v>
      </c>
      <c r="I1493" s="6" t="s">
        <v>13</v>
      </c>
      <c r="J1493" s="4">
        <f>SUMPRODUCT(--((A1493=$A$3:$A$2785)*$H$3:$H$2785&gt;H1493))+1</f>
        <v>268</v>
      </c>
    </row>
    <row r="1494" s="1" customFormat="true" customHeight="true" spans="1:10">
      <c r="A1494" s="4" t="str">
        <f t="shared" si="179"/>
        <v>021</v>
      </c>
      <c r="B1494" s="4" t="s">
        <v>33</v>
      </c>
      <c r="C1494" s="4" t="str">
        <f>"杨倩"</f>
        <v>杨倩</v>
      </c>
      <c r="D1494" s="4" t="str">
        <f>"2021011423"</f>
        <v>2021011423</v>
      </c>
      <c r="E1494" s="4" t="str">
        <f t="shared" si="181"/>
        <v>14</v>
      </c>
      <c r="F1494" s="4" t="str">
        <f>"23"</f>
        <v>23</v>
      </c>
      <c r="G1494" s="4" t="s">
        <v>12</v>
      </c>
      <c r="H1494" s="5">
        <v>0</v>
      </c>
      <c r="I1494" s="6" t="s">
        <v>13</v>
      </c>
      <c r="J1494" s="4">
        <f>SUMPRODUCT(--((A1494=$A$3:$A$2785)*$H$3:$H$2785&gt;H1494))+1</f>
        <v>268</v>
      </c>
    </row>
    <row r="1495" s="1" customFormat="true" customHeight="true" spans="1:10">
      <c r="A1495" s="4" t="str">
        <f t="shared" si="179"/>
        <v>021</v>
      </c>
      <c r="B1495" s="4" t="s">
        <v>33</v>
      </c>
      <c r="C1495" s="4" t="str">
        <f>"张叶青"</f>
        <v>张叶青</v>
      </c>
      <c r="D1495" s="4" t="str">
        <f>"2021011424"</f>
        <v>2021011424</v>
      </c>
      <c r="E1495" s="4" t="str">
        <f t="shared" si="181"/>
        <v>14</v>
      </c>
      <c r="F1495" s="4" t="str">
        <f>"24"</f>
        <v>24</v>
      </c>
      <c r="G1495" s="4" t="s">
        <v>12</v>
      </c>
      <c r="H1495" s="5">
        <v>0</v>
      </c>
      <c r="I1495" s="6" t="s">
        <v>13</v>
      </c>
      <c r="J1495" s="4">
        <f>SUMPRODUCT(--((A1495=$A$3:$A$2785)*$H$3:$H$2785&gt;H1495))+1</f>
        <v>268</v>
      </c>
    </row>
    <row r="1496" s="1" customFormat="true" customHeight="true" spans="1:10">
      <c r="A1496" s="4" t="str">
        <f t="shared" si="179"/>
        <v>021</v>
      </c>
      <c r="B1496" s="4" t="s">
        <v>33</v>
      </c>
      <c r="C1496" s="4" t="str">
        <f>"石春连"</f>
        <v>石春连</v>
      </c>
      <c r="D1496" s="4" t="str">
        <f>"2021011429"</f>
        <v>2021011429</v>
      </c>
      <c r="E1496" s="4" t="str">
        <f t="shared" si="181"/>
        <v>14</v>
      </c>
      <c r="F1496" s="4" t="str">
        <f>"29"</f>
        <v>29</v>
      </c>
      <c r="G1496" s="4" t="s">
        <v>12</v>
      </c>
      <c r="H1496" s="5">
        <v>0</v>
      </c>
      <c r="I1496" s="6" t="s">
        <v>13</v>
      </c>
      <c r="J1496" s="4">
        <f>SUMPRODUCT(--((A1496=$A$3:$A$2785)*$H$3:$H$2785&gt;H1496))+1</f>
        <v>268</v>
      </c>
    </row>
    <row r="1497" s="1" customFormat="true" customHeight="true" spans="1:10">
      <c r="A1497" s="4" t="str">
        <f t="shared" si="179"/>
        <v>021</v>
      </c>
      <c r="B1497" s="4" t="s">
        <v>33</v>
      </c>
      <c r="C1497" s="4" t="str">
        <f>"向年"</f>
        <v>向年</v>
      </c>
      <c r="D1497" s="4" t="str">
        <f>"2021011503"</f>
        <v>2021011503</v>
      </c>
      <c r="E1497" s="4" t="str">
        <f t="shared" ref="E1497:E1513" si="182">"15"</f>
        <v>15</v>
      </c>
      <c r="F1497" s="4" t="str">
        <f>"03"</f>
        <v>03</v>
      </c>
      <c r="G1497" s="4" t="s">
        <v>12</v>
      </c>
      <c r="H1497" s="5">
        <v>0</v>
      </c>
      <c r="I1497" s="6" t="s">
        <v>13</v>
      </c>
      <c r="J1497" s="4">
        <f>SUMPRODUCT(--((A1497=$A$3:$A$2785)*$H$3:$H$2785&gt;H1497))+1</f>
        <v>268</v>
      </c>
    </row>
    <row r="1498" s="1" customFormat="true" customHeight="true" spans="1:10">
      <c r="A1498" s="4" t="str">
        <f t="shared" si="179"/>
        <v>021</v>
      </c>
      <c r="B1498" s="4" t="s">
        <v>33</v>
      </c>
      <c r="C1498" s="4" t="str">
        <f>"陈荃"</f>
        <v>陈荃</v>
      </c>
      <c r="D1498" s="4" t="str">
        <f>"2021011506"</f>
        <v>2021011506</v>
      </c>
      <c r="E1498" s="4" t="str">
        <f t="shared" si="182"/>
        <v>15</v>
      </c>
      <c r="F1498" s="4" t="str">
        <f>"06"</f>
        <v>06</v>
      </c>
      <c r="G1498" s="4" t="s">
        <v>12</v>
      </c>
      <c r="H1498" s="5">
        <v>0</v>
      </c>
      <c r="I1498" s="6" t="s">
        <v>13</v>
      </c>
      <c r="J1498" s="4">
        <f>SUMPRODUCT(--((A1498=$A$3:$A$2785)*$H$3:$H$2785&gt;H1498))+1</f>
        <v>268</v>
      </c>
    </row>
    <row r="1499" s="1" customFormat="true" customHeight="true" spans="1:10">
      <c r="A1499" s="4" t="str">
        <f t="shared" si="179"/>
        <v>021</v>
      </c>
      <c r="B1499" s="4" t="s">
        <v>33</v>
      </c>
      <c r="C1499" s="4" t="str">
        <f>"舒文"</f>
        <v>舒文</v>
      </c>
      <c r="D1499" s="4" t="str">
        <f>"2021011510"</f>
        <v>2021011510</v>
      </c>
      <c r="E1499" s="4" t="str">
        <f t="shared" si="182"/>
        <v>15</v>
      </c>
      <c r="F1499" s="4" t="str">
        <f>"10"</f>
        <v>10</v>
      </c>
      <c r="G1499" s="4" t="s">
        <v>12</v>
      </c>
      <c r="H1499" s="5">
        <v>0</v>
      </c>
      <c r="I1499" s="6" t="s">
        <v>13</v>
      </c>
      <c r="J1499" s="4">
        <f>SUMPRODUCT(--((A1499=$A$3:$A$2785)*$H$3:$H$2785&gt;H1499))+1</f>
        <v>268</v>
      </c>
    </row>
    <row r="1500" s="1" customFormat="true" customHeight="true" spans="1:10">
      <c r="A1500" s="4" t="str">
        <f t="shared" si="179"/>
        <v>021</v>
      </c>
      <c r="B1500" s="4" t="s">
        <v>33</v>
      </c>
      <c r="C1500" s="4" t="str">
        <f>"侯小花"</f>
        <v>侯小花</v>
      </c>
      <c r="D1500" s="4" t="str">
        <f>"2021011511"</f>
        <v>2021011511</v>
      </c>
      <c r="E1500" s="4" t="str">
        <f t="shared" si="182"/>
        <v>15</v>
      </c>
      <c r="F1500" s="4" t="str">
        <f>"11"</f>
        <v>11</v>
      </c>
      <c r="G1500" s="4" t="s">
        <v>12</v>
      </c>
      <c r="H1500" s="5">
        <v>0</v>
      </c>
      <c r="I1500" s="6" t="s">
        <v>13</v>
      </c>
      <c r="J1500" s="4">
        <f>SUMPRODUCT(--((A1500=$A$3:$A$2785)*$H$3:$H$2785&gt;H1500))+1</f>
        <v>268</v>
      </c>
    </row>
    <row r="1501" s="1" customFormat="true" customHeight="true" spans="1:10">
      <c r="A1501" s="4" t="str">
        <f t="shared" si="179"/>
        <v>021</v>
      </c>
      <c r="B1501" s="4" t="s">
        <v>33</v>
      </c>
      <c r="C1501" s="4" t="str">
        <f>"龙梦雨"</f>
        <v>龙梦雨</v>
      </c>
      <c r="D1501" s="4" t="str">
        <f>"2021011513"</f>
        <v>2021011513</v>
      </c>
      <c r="E1501" s="4" t="str">
        <f t="shared" si="182"/>
        <v>15</v>
      </c>
      <c r="F1501" s="4" t="str">
        <f>"13"</f>
        <v>13</v>
      </c>
      <c r="G1501" s="4" t="s">
        <v>12</v>
      </c>
      <c r="H1501" s="5">
        <v>0</v>
      </c>
      <c r="I1501" s="6" t="s">
        <v>13</v>
      </c>
      <c r="J1501" s="4">
        <f>SUMPRODUCT(--((A1501=$A$3:$A$2785)*$H$3:$H$2785&gt;H1501))+1</f>
        <v>268</v>
      </c>
    </row>
    <row r="1502" s="1" customFormat="true" customHeight="true" spans="1:10">
      <c r="A1502" s="4" t="str">
        <f t="shared" si="179"/>
        <v>021</v>
      </c>
      <c r="B1502" s="4" t="s">
        <v>33</v>
      </c>
      <c r="C1502" s="4" t="str">
        <f>"黄唯"</f>
        <v>黄唯</v>
      </c>
      <c r="D1502" s="4" t="str">
        <f>"2021011514"</f>
        <v>2021011514</v>
      </c>
      <c r="E1502" s="4" t="str">
        <f t="shared" si="182"/>
        <v>15</v>
      </c>
      <c r="F1502" s="4" t="str">
        <f>"14"</f>
        <v>14</v>
      </c>
      <c r="G1502" s="4" t="s">
        <v>12</v>
      </c>
      <c r="H1502" s="5">
        <v>0</v>
      </c>
      <c r="I1502" s="6" t="s">
        <v>13</v>
      </c>
      <c r="J1502" s="4">
        <f>SUMPRODUCT(--((A1502=$A$3:$A$2785)*$H$3:$H$2785&gt;H1502))+1</f>
        <v>268</v>
      </c>
    </row>
    <row r="1503" s="1" customFormat="true" customHeight="true" spans="1:10">
      <c r="A1503" s="4" t="str">
        <f t="shared" si="179"/>
        <v>021</v>
      </c>
      <c r="B1503" s="4" t="s">
        <v>33</v>
      </c>
      <c r="C1503" s="4" t="str">
        <f>"向茹"</f>
        <v>向茹</v>
      </c>
      <c r="D1503" s="4" t="str">
        <f>"2021011516"</f>
        <v>2021011516</v>
      </c>
      <c r="E1503" s="4" t="str">
        <f t="shared" si="182"/>
        <v>15</v>
      </c>
      <c r="F1503" s="4" t="str">
        <f>"16"</f>
        <v>16</v>
      </c>
      <c r="G1503" s="4" t="s">
        <v>12</v>
      </c>
      <c r="H1503" s="5">
        <v>0</v>
      </c>
      <c r="I1503" s="6" t="s">
        <v>13</v>
      </c>
      <c r="J1503" s="4">
        <f>SUMPRODUCT(--((A1503=$A$3:$A$2785)*$H$3:$H$2785&gt;H1503))+1</f>
        <v>268</v>
      </c>
    </row>
    <row r="1504" s="1" customFormat="true" customHeight="true" spans="1:10">
      <c r="A1504" s="4" t="str">
        <f t="shared" si="179"/>
        <v>021</v>
      </c>
      <c r="B1504" s="4" t="s">
        <v>33</v>
      </c>
      <c r="C1504" s="4" t="str">
        <f>"胡思思"</f>
        <v>胡思思</v>
      </c>
      <c r="D1504" s="4" t="str">
        <f>"2021011517"</f>
        <v>2021011517</v>
      </c>
      <c r="E1504" s="4" t="str">
        <f t="shared" si="182"/>
        <v>15</v>
      </c>
      <c r="F1504" s="4" t="str">
        <f>"17"</f>
        <v>17</v>
      </c>
      <c r="G1504" s="4" t="s">
        <v>12</v>
      </c>
      <c r="H1504" s="5">
        <v>0</v>
      </c>
      <c r="I1504" s="6" t="s">
        <v>13</v>
      </c>
      <c r="J1504" s="4">
        <f>SUMPRODUCT(--((A1504=$A$3:$A$2785)*$H$3:$H$2785&gt;H1504))+1</f>
        <v>268</v>
      </c>
    </row>
    <row r="1505" s="1" customFormat="true" customHeight="true" spans="1:10">
      <c r="A1505" s="4" t="str">
        <f t="shared" si="179"/>
        <v>021</v>
      </c>
      <c r="B1505" s="4" t="s">
        <v>33</v>
      </c>
      <c r="C1505" s="4" t="str">
        <f>"戴湘琼"</f>
        <v>戴湘琼</v>
      </c>
      <c r="D1505" s="4" t="str">
        <f>"2021011518"</f>
        <v>2021011518</v>
      </c>
      <c r="E1505" s="4" t="str">
        <f t="shared" si="182"/>
        <v>15</v>
      </c>
      <c r="F1505" s="4" t="str">
        <f>"18"</f>
        <v>18</v>
      </c>
      <c r="G1505" s="4" t="s">
        <v>12</v>
      </c>
      <c r="H1505" s="5">
        <v>0</v>
      </c>
      <c r="I1505" s="6" t="s">
        <v>13</v>
      </c>
      <c r="J1505" s="4">
        <f>SUMPRODUCT(--((A1505=$A$3:$A$2785)*$H$3:$H$2785&gt;H1505))+1</f>
        <v>268</v>
      </c>
    </row>
    <row r="1506" s="1" customFormat="true" customHeight="true" spans="1:10">
      <c r="A1506" s="4" t="str">
        <f t="shared" si="179"/>
        <v>021</v>
      </c>
      <c r="B1506" s="4" t="s">
        <v>33</v>
      </c>
      <c r="C1506" s="4" t="str">
        <f>"邓沅珍"</f>
        <v>邓沅珍</v>
      </c>
      <c r="D1506" s="4" t="str">
        <f>"2021011521"</f>
        <v>2021011521</v>
      </c>
      <c r="E1506" s="4" t="str">
        <f t="shared" si="182"/>
        <v>15</v>
      </c>
      <c r="F1506" s="4" t="str">
        <f>"21"</f>
        <v>21</v>
      </c>
      <c r="G1506" s="4" t="s">
        <v>12</v>
      </c>
      <c r="H1506" s="5">
        <v>0</v>
      </c>
      <c r="I1506" s="6" t="s">
        <v>13</v>
      </c>
      <c r="J1506" s="4">
        <f>SUMPRODUCT(--((A1506=$A$3:$A$2785)*$H$3:$H$2785&gt;H1506))+1</f>
        <v>268</v>
      </c>
    </row>
    <row r="1507" s="1" customFormat="true" customHeight="true" spans="1:10">
      <c r="A1507" s="4" t="str">
        <f t="shared" si="179"/>
        <v>021</v>
      </c>
      <c r="B1507" s="4" t="s">
        <v>33</v>
      </c>
      <c r="C1507" s="4" t="str">
        <f>"张晴"</f>
        <v>张晴</v>
      </c>
      <c r="D1507" s="4" t="str">
        <f>"2021011522"</f>
        <v>2021011522</v>
      </c>
      <c r="E1507" s="4" t="str">
        <f t="shared" si="182"/>
        <v>15</v>
      </c>
      <c r="F1507" s="4" t="str">
        <f>"22"</f>
        <v>22</v>
      </c>
      <c r="G1507" s="4" t="s">
        <v>12</v>
      </c>
      <c r="H1507" s="5">
        <v>0</v>
      </c>
      <c r="I1507" s="6" t="s">
        <v>13</v>
      </c>
      <c r="J1507" s="4">
        <f>SUMPRODUCT(--((A1507=$A$3:$A$2785)*$H$3:$H$2785&gt;H1507))+1</f>
        <v>268</v>
      </c>
    </row>
    <row r="1508" s="1" customFormat="true" customHeight="true" spans="1:10">
      <c r="A1508" s="4" t="str">
        <f t="shared" si="179"/>
        <v>021</v>
      </c>
      <c r="B1508" s="4" t="s">
        <v>33</v>
      </c>
      <c r="C1508" s="4" t="str">
        <f>"周涛"</f>
        <v>周涛</v>
      </c>
      <c r="D1508" s="4" t="str">
        <f>"2021011523"</f>
        <v>2021011523</v>
      </c>
      <c r="E1508" s="4" t="str">
        <f t="shared" si="182"/>
        <v>15</v>
      </c>
      <c r="F1508" s="4" t="str">
        <f>"23"</f>
        <v>23</v>
      </c>
      <c r="G1508" s="4" t="s">
        <v>12</v>
      </c>
      <c r="H1508" s="5">
        <v>0</v>
      </c>
      <c r="I1508" s="6" t="s">
        <v>13</v>
      </c>
      <c r="J1508" s="4">
        <f>SUMPRODUCT(--((A1508=$A$3:$A$2785)*$H$3:$H$2785&gt;H1508))+1</f>
        <v>268</v>
      </c>
    </row>
    <row r="1509" s="1" customFormat="true" customHeight="true" spans="1:10">
      <c r="A1509" s="4" t="str">
        <f t="shared" si="179"/>
        <v>021</v>
      </c>
      <c r="B1509" s="4" t="s">
        <v>33</v>
      </c>
      <c r="C1509" s="4" t="str">
        <f>"钟莉"</f>
        <v>钟莉</v>
      </c>
      <c r="D1509" s="4" t="str">
        <f>"2021011524"</f>
        <v>2021011524</v>
      </c>
      <c r="E1509" s="4" t="str">
        <f t="shared" si="182"/>
        <v>15</v>
      </c>
      <c r="F1509" s="4" t="str">
        <f>"24"</f>
        <v>24</v>
      </c>
      <c r="G1509" s="4" t="s">
        <v>12</v>
      </c>
      <c r="H1509" s="5">
        <v>0</v>
      </c>
      <c r="I1509" s="6" t="s">
        <v>13</v>
      </c>
      <c r="J1509" s="4">
        <f>SUMPRODUCT(--((A1509=$A$3:$A$2785)*$H$3:$H$2785&gt;H1509))+1</f>
        <v>268</v>
      </c>
    </row>
    <row r="1510" s="1" customFormat="true" customHeight="true" spans="1:10">
      <c r="A1510" s="4" t="str">
        <f t="shared" si="179"/>
        <v>021</v>
      </c>
      <c r="B1510" s="4" t="s">
        <v>33</v>
      </c>
      <c r="C1510" s="4" t="str">
        <f>"龚安琼"</f>
        <v>龚安琼</v>
      </c>
      <c r="D1510" s="4" t="str">
        <f>"2021011526"</f>
        <v>2021011526</v>
      </c>
      <c r="E1510" s="4" t="str">
        <f t="shared" si="182"/>
        <v>15</v>
      </c>
      <c r="F1510" s="4" t="str">
        <f>"26"</f>
        <v>26</v>
      </c>
      <c r="G1510" s="4" t="s">
        <v>12</v>
      </c>
      <c r="H1510" s="5">
        <v>0</v>
      </c>
      <c r="I1510" s="6" t="s">
        <v>13</v>
      </c>
      <c r="J1510" s="4">
        <f>SUMPRODUCT(--((A1510=$A$3:$A$2785)*$H$3:$H$2785&gt;H1510))+1</f>
        <v>268</v>
      </c>
    </row>
    <row r="1511" s="1" customFormat="true" customHeight="true" spans="1:10">
      <c r="A1511" s="4" t="str">
        <f t="shared" si="179"/>
        <v>021</v>
      </c>
      <c r="B1511" s="4" t="s">
        <v>33</v>
      </c>
      <c r="C1511" s="4" t="str">
        <f>"周琪"</f>
        <v>周琪</v>
      </c>
      <c r="D1511" s="4" t="str">
        <f>"2021011527"</f>
        <v>2021011527</v>
      </c>
      <c r="E1511" s="4" t="str">
        <f t="shared" si="182"/>
        <v>15</v>
      </c>
      <c r="F1511" s="4" t="str">
        <f>"27"</f>
        <v>27</v>
      </c>
      <c r="G1511" s="4" t="s">
        <v>12</v>
      </c>
      <c r="H1511" s="5">
        <v>0</v>
      </c>
      <c r="I1511" s="6" t="s">
        <v>13</v>
      </c>
      <c r="J1511" s="4">
        <f>SUMPRODUCT(--((A1511=$A$3:$A$2785)*$H$3:$H$2785&gt;H1511))+1</f>
        <v>268</v>
      </c>
    </row>
    <row r="1512" s="1" customFormat="true" customHeight="true" spans="1:10">
      <c r="A1512" s="4" t="str">
        <f t="shared" si="179"/>
        <v>021</v>
      </c>
      <c r="B1512" s="4" t="s">
        <v>33</v>
      </c>
      <c r="C1512" s="4" t="str">
        <f>"刘静平"</f>
        <v>刘静平</v>
      </c>
      <c r="D1512" s="4" t="str">
        <f>"2021011528"</f>
        <v>2021011528</v>
      </c>
      <c r="E1512" s="4" t="str">
        <f t="shared" si="182"/>
        <v>15</v>
      </c>
      <c r="F1512" s="4" t="str">
        <f>"28"</f>
        <v>28</v>
      </c>
      <c r="G1512" s="4" t="s">
        <v>12</v>
      </c>
      <c r="H1512" s="5">
        <v>0</v>
      </c>
      <c r="I1512" s="6" t="s">
        <v>13</v>
      </c>
      <c r="J1512" s="4">
        <f>SUMPRODUCT(--((A1512=$A$3:$A$2785)*$H$3:$H$2785&gt;H1512))+1</f>
        <v>268</v>
      </c>
    </row>
    <row r="1513" s="1" customFormat="true" customHeight="true" spans="1:10">
      <c r="A1513" s="4" t="str">
        <f t="shared" si="179"/>
        <v>021</v>
      </c>
      <c r="B1513" s="4" t="s">
        <v>33</v>
      </c>
      <c r="C1513" s="4" t="str">
        <f>"王鹏秋"</f>
        <v>王鹏秋</v>
      </c>
      <c r="D1513" s="4" t="str">
        <f>"2021011530"</f>
        <v>2021011530</v>
      </c>
      <c r="E1513" s="4" t="str">
        <f t="shared" si="182"/>
        <v>15</v>
      </c>
      <c r="F1513" s="4" t="str">
        <f>"30"</f>
        <v>30</v>
      </c>
      <c r="G1513" s="4" t="s">
        <v>12</v>
      </c>
      <c r="H1513" s="5">
        <v>0</v>
      </c>
      <c r="I1513" s="6" t="s">
        <v>13</v>
      </c>
      <c r="J1513" s="4">
        <f>SUMPRODUCT(--((A1513=$A$3:$A$2785)*$H$3:$H$2785&gt;H1513))+1</f>
        <v>268</v>
      </c>
    </row>
    <row r="1514" s="1" customFormat="true" customHeight="true" spans="1:10">
      <c r="A1514" s="4" t="str">
        <f t="shared" si="179"/>
        <v>021</v>
      </c>
      <c r="B1514" s="4" t="s">
        <v>33</v>
      </c>
      <c r="C1514" s="4" t="str">
        <f>"阮佳丽"</f>
        <v>阮佳丽</v>
      </c>
      <c r="D1514" s="4" t="str">
        <f>"2021011601"</f>
        <v>2021011601</v>
      </c>
      <c r="E1514" s="4" t="str">
        <f t="shared" ref="E1514:E1526" si="183">"16"</f>
        <v>16</v>
      </c>
      <c r="F1514" s="4" t="str">
        <f>"01"</f>
        <v>01</v>
      </c>
      <c r="G1514" s="4" t="s">
        <v>12</v>
      </c>
      <c r="H1514" s="5">
        <v>0</v>
      </c>
      <c r="I1514" s="6" t="s">
        <v>13</v>
      </c>
      <c r="J1514" s="4">
        <f>SUMPRODUCT(--((A1514=$A$3:$A$2785)*$H$3:$H$2785&gt;H1514))+1</f>
        <v>268</v>
      </c>
    </row>
    <row r="1515" s="1" customFormat="true" customHeight="true" spans="1:10">
      <c r="A1515" s="4" t="str">
        <f t="shared" si="179"/>
        <v>021</v>
      </c>
      <c r="B1515" s="4" t="s">
        <v>33</v>
      </c>
      <c r="C1515" s="4" t="str">
        <f>"罗甜"</f>
        <v>罗甜</v>
      </c>
      <c r="D1515" s="4" t="str">
        <f>"2021011605"</f>
        <v>2021011605</v>
      </c>
      <c r="E1515" s="4" t="str">
        <f t="shared" si="183"/>
        <v>16</v>
      </c>
      <c r="F1515" s="4" t="str">
        <f>"05"</f>
        <v>05</v>
      </c>
      <c r="G1515" s="4" t="s">
        <v>12</v>
      </c>
      <c r="H1515" s="5">
        <v>0</v>
      </c>
      <c r="I1515" s="6" t="s">
        <v>13</v>
      </c>
      <c r="J1515" s="4">
        <f>SUMPRODUCT(--((A1515=$A$3:$A$2785)*$H$3:$H$2785&gt;H1515))+1</f>
        <v>268</v>
      </c>
    </row>
    <row r="1516" s="1" customFormat="true" customHeight="true" spans="1:10">
      <c r="A1516" s="4" t="str">
        <f t="shared" si="179"/>
        <v>021</v>
      </c>
      <c r="B1516" s="4" t="s">
        <v>33</v>
      </c>
      <c r="C1516" s="4" t="str">
        <f>"包思慧"</f>
        <v>包思慧</v>
      </c>
      <c r="D1516" s="4" t="str">
        <f>"2021011608"</f>
        <v>2021011608</v>
      </c>
      <c r="E1516" s="4" t="str">
        <f t="shared" si="183"/>
        <v>16</v>
      </c>
      <c r="F1516" s="4" t="str">
        <f>"08"</f>
        <v>08</v>
      </c>
      <c r="G1516" s="4" t="s">
        <v>12</v>
      </c>
      <c r="H1516" s="5">
        <v>0</v>
      </c>
      <c r="I1516" s="6" t="s">
        <v>13</v>
      </c>
      <c r="J1516" s="4">
        <f>SUMPRODUCT(--((A1516=$A$3:$A$2785)*$H$3:$H$2785&gt;H1516))+1</f>
        <v>268</v>
      </c>
    </row>
    <row r="1517" s="1" customFormat="true" customHeight="true" spans="1:10">
      <c r="A1517" s="4" t="str">
        <f t="shared" si="179"/>
        <v>021</v>
      </c>
      <c r="B1517" s="4" t="s">
        <v>33</v>
      </c>
      <c r="C1517" s="4" t="str">
        <f>"罗姝欣"</f>
        <v>罗姝欣</v>
      </c>
      <c r="D1517" s="4" t="str">
        <f>"2021011609"</f>
        <v>2021011609</v>
      </c>
      <c r="E1517" s="4" t="str">
        <f t="shared" si="183"/>
        <v>16</v>
      </c>
      <c r="F1517" s="4" t="str">
        <f>"09"</f>
        <v>09</v>
      </c>
      <c r="G1517" s="4" t="s">
        <v>12</v>
      </c>
      <c r="H1517" s="5">
        <v>0</v>
      </c>
      <c r="I1517" s="6" t="s">
        <v>13</v>
      </c>
      <c r="J1517" s="4">
        <f>SUMPRODUCT(--((A1517=$A$3:$A$2785)*$H$3:$H$2785&gt;H1517))+1</f>
        <v>268</v>
      </c>
    </row>
    <row r="1518" s="1" customFormat="true" customHeight="true" spans="1:10">
      <c r="A1518" s="4" t="str">
        <f t="shared" si="179"/>
        <v>021</v>
      </c>
      <c r="B1518" s="4" t="s">
        <v>33</v>
      </c>
      <c r="C1518" s="4" t="str">
        <f>"杨肖"</f>
        <v>杨肖</v>
      </c>
      <c r="D1518" s="4" t="str">
        <f>"2021011610"</f>
        <v>2021011610</v>
      </c>
      <c r="E1518" s="4" t="str">
        <f t="shared" si="183"/>
        <v>16</v>
      </c>
      <c r="F1518" s="4" t="str">
        <f>"10"</f>
        <v>10</v>
      </c>
      <c r="G1518" s="4" t="s">
        <v>12</v>
      </c>
      <c r="H1518" s="5">
        <v>0</v>
      </c>
      <c r="I1518" s="6" t="s">
        <v>13</v>
      </c>
      <c r="J1518" s="4">
        <f>SUMPRODUCT(--((A1518=$A$3:$A$2785)*$H$3:$H$2785&gt;H1518))+1</f>
        <v>268</v>
      </c>
    </row>
    <row r="1519" s="1" customFormat="true" customHeight="true" spans="1:10">
      <c r="A1519" s="4" t="str">
        <f t="shared" si="179"/>
        <v>021</v>
      </c>
      <c r="B1519" s="4" t="s">
        <v>33</v>
      </c>
      <c r="C1519" s="4" t="str">
        <f>"张潘"</f>
        <v>张潘</v>
      </c>
      <c r="D1519" s="4" t="str">
        <f>"2021011612"</f>
        <v>2021011612</v>
      </c>
      <c r="E1519" s="4" t="str">
        <f t="shared" si="183"/>
        <v>16</v>
      </c>
      <c r="F1519" s="4" t="str">
        <f>"12"</f>
        <v>12</v>
      </c>
      <c r="G1519" s="4" t="s">
        <v>12</v>
      </c>
      <c r="H1519" s="5">
        <v>0</v>
      </c>
      <c r="I1519" s="6" t="s">
        <v>13</v>
      </c>
      <c r="J1519" s="4">
        <f>SUMPRODUCT(--((A1519=$A$3:$A$2785)*$H$3:$H$2785&gt;H1519))+1</f>
        <v>268</v>
      </c>
    </row>
    <row r="1520" s="1" customFormat="true" customHeight="true" spans="1:10">
      <c r="A1520" s="4" t="str">
        <f t="shared" si="179"/>
        <v>021</v>
      </c>
      <c r="B1520" s="4" t="s">
        <v>33</v>
      </c>
      <c r="C1520" s="4" t="str">
        <f>"舒英姿"</f>
        <v>舒英姿</v>
      </c>
      <c r="D1520" s="4" t="str">
        <f>"2021011613"</f>
        <v>2021011613</v>
      </c>
      <c r="E1520" s="4" t="str">
        <f t="shared" si="183"/>
        <v>16</v>
      </c>
      <c r="F1520" s="4" t="str">
        <f>"13"</f>
        <v>13</v>
      </c>
      <c r="G1520" s="4" t="s">
        <v>12</v>
      </c>
      <c r="H1520" s="5">
        <v>0</v>
      </c>
      <c r="I1520" s="6" t="s">
        <v>13</v>
      </c>
      <c r="J1520" s="4">
        <f>SUMPRODUCT(--((A1520=$A$3:$A$2785)*$H$3:$H$2785&gt;H1520))+1</f>
        <v>268</v>
      </c>
    </row>
    <row r="1521" s="1" customFormat="true" customHeight="true" spans="1:10">
      <c r="A1521" s="4" t="str">
        <f t="shared" si="179"/>
        <v>021</v>
      </c>
      <c r="B1521" s="4" t="s">
        <v>33</v>
      </c>
      <c r="C1521" s="4" t="str">
        <f>"唐黎"</f>
        <v>唐黎</v>
      </c>
      <c r="D1521" s="4" t="str">
        <f>"2021011618"</f>
        <v>2021011618</v>
      </c>
      <c r="E1521" s="4" t="str">
        <f t="shared" si="183"/>
        <v>16</v>
      </c>
      <c r="F1521" s="4" t="str">
        <f>"18"</f>
        <v>18</v>
      </c>
      <c r="G1521" s="4" t="s">
        <v>12</v>
      </c>
      <c r="H1521" s="5">
        <v>0</v>
      </c>
      <c r="I1521" s="6" t="s">
        <v>13</v>
      </c>
      <c r="J1521" s="4">
        <f>SUMPRODUCT(--((A1521=$A$3:$A$2785)*$H$3:$H$2785&gt;H1521))+1</f>
        <v>268</v>
      </c>
    </row>
    <row r="1522" s="1" customFormat="true" customHeight="true" spans="1:10">
      <c r="A1522" s="4" t="str">
        <f t="shared" si="179"/>
        <v>021</v>
      </c>
      <c r="B1522" s="4" t="s">
        <v>33</v>
      </c>
      <c r="C1522" s="4" t="str">
        <f>"陈香兰"</f>
        <v>陈香兰</v>
      </c>
      <c r="D1522" s="4" t="str">
        <f>"2021011623"</f>
        <v>2021011623</v>
      </c>
      <c r="E1522" s="4" t="str">
        <f t="shared" si="183"/>
        <v>16</v>
      </c>
      <c r="F1522" s="4" t="str">
        <f>"23"</f>
        <v>23</v>
      </c>
      <c r="G1522" s="4" t="s">
        <v>12</v>
      </c>
      <c r="H1522" s="5">
        <v>0</v>
      </c>
      <c r="I1522" s="6" t="s">
        <v>13</v>
      </c>
      <c r="J1522" s="4">
        <f>SUMPRODUCT(--((A1522=$A$3:$A$2785)*$H$3:$H$2785&gt;H1522))+1</f>
        <v>268</v>
      </c>
    </row>
    <row r="1523" s="1" customFormat="true" customHeight="true" spans="1:10">
      <c r="A1523" s="4" t="str">
        <f t="shared" si="179"/>
        <v>021</v>
      </c>
      <c r="B1523" s="4" t="s">
        <v>33</v>
      </c>
      <c r="C1523" s="4" t="str">
        <f>"田湘秀"</f>
        <v>田湘秀</v>
      </c>
      <c r="D1523" s="4" t="str">
        <f>"2021011624"</f>
        <v>2021011624</v>
      </c>
      <c r="E1523" s="4" t="str">
        <f t="shared" si="183"/>
        <v>16</v>
      </c>
      <c r="F1523" s="4" t="str">
        <f>"24"</f>
        <v>24</v>
      </c>
      <c r="G1523" s="4" t="s">
        <v>12</v>
      </c>
      <c r="H1523" s="5">
        <v>0</v>
      </c>
      <c r="I1523" s="6" t="s">
        <v>13</v>
      </c>
      <c r="J1523" s="4">
        <f>SUMPRODUCT(--((A1523=$A$3:$A$2785)*$H$3:$H$2785&gt;H1523))+1</f>
        <v>268</v>
      </c>
    </row>
    <row r="1524" s="1" customFormat="true" customHeight="true" spans="1:10">
      <c r="A1524" s="4" t="str">
        <f t="shared" si="179"/>
        <v>021</v>
      </c>
      <c r="B1524" s="4" t="s">
        <v>33</v>
      </c>
      <c r="C1524" s="4" t="str">
        <f>"黄梦姣"</f>
        <v>黄梦姣</v>
      </c>
      <c r="D1524" s="4" t="str">
        <f>"2021011626"</f>
        <v>2021011626</v>
      </c>
      <c r="E1524" s="4" t="str">
        <f t="shared" si="183"/>
        <v>16</v>
      </c>
      <c r="F1524" s="4" t="str">
        <f>"26"</f>
        <v>26</v>
      </c>
      <c r="G1524" s="4" t="s">
        <v>12</v>
      </c>
      <c r="H1524" s="5">
        <v>0</v>
      </c>
      <c r="I1524" s="6" t="s">
        <v>13</v>
      </c>
      <c r="J1524" s="4">
        <f>SUMPRODUCT(--((A1524=$A$3:$A$2785)*$H$3:$H$2785&gt;H1524))+1</f>
        <v>268</v>
      </c>
    </row>
    <row r="1525" s="1" customFormat="true" customHeight="true" spans="1:10">
      <c r="A1525" s="4" t="str">
        <f t="shared" si="179"/>
        <v>021</v>
      </c>
      <c r="B1525" s="4" t="s">
        <v>33</v>
      </c>
      <c r="C1525" s="4" t="str">
        <f>"文思齐"</f>
        <v>文思齐</v>
      </c>
      <c r="D1525" s="4" t="str">
        <f>"2021011629"</f>
        <v>2021011629</v>
      </c>
      <c r="E1525" s="4" t="str">
        <f t="shared" si="183"/>
        <v>16</v>
      </c>
      <c r="F1525" s="4" t="str">
        <f>"29"</f>
        <v>29</v>
      </c>
      <c r="G1525" s="4" t="s">
        <v>12</v>
      </c>
      <c r="H1525" s="5">
        <v>0</v>
      </c>
      <c r="I1525" s="6" t="s">
        <v>13</v>
      </c>
      <c r="J1525" s="4">
        <f>SUMPRODUCT(--((A1525=$A$3:$A$2785)*$H$3:$H$2785&gt;H1525))+1</f>
        <v>268</v>
      </c>
    </row>
    <row r="1526" s="1" customFormat="true" customHeight="true" spans="1:10">
      <c r="A1526" s="4" t="str">
        <f t="shared" si="179"/>
        <v>021</v>
      </c>
      <c r="B1526" s="4" t="s">
        <v>33</v>
      </c>
      <c r="C1526" s="4" t="str">
        <f>"肖惠元"</f>
        <v>肖惠元</v>
      </c>
      <c r="D1526" s="4" t="str">
        <f>"2021011630"</f>
        <v>2021011630</v>
      </c>
      <c r="E1526" s="4" t="str">
        <f t="shared" si="183"/>
        <v>16</v>
      </c>
      <c r="F1526" s="4" t="str">
        <f>"30"</f>
        <v>30</v>
      </c>
      <c r="G1526" s="4" t="s">
        <v>12</v>
      </c>
      <c r="H1526" s="5">
        <v>0</v>
      </c>
      <c r="I1526" s="6" t="s">
        <v>13</v>
      </c>
      <c r="J1526" s="4">
        <f>SUMPRODUCT(--((A1526=$A$3:$A$2785)*$H$3:$H$2785&gt;H1526))+1</f>
        <v>268</v>
      </c>
    </row>
    <row r="1527" s="1" customFormat="true" customHeight="true" spans="1:10">
      <c r="A1527" s="4" t="str">
        <f t="shared" si="179"/>
        <v>021</v>
      </c>
      <c r="B1527" s="4" t="s">
        <v>33</v>
      </c>
      <c r="C1527" s="4" t="str">
        <f>"罗艳"</f>
        <v>罗艳</v>
      </c>
      <c r="D1527" s="4" t="str">
        <f>"2021011702"</f>
        <v>2021011702</v>
      </c>
      <c r="E1527" s="4" t="str">
        <f t="shared" ref="E1527:E1541" si="184">"17"</f>
        <v>17</v>
      </c>
      <c r="F1527" s="4" t="str">
        <f>"02"</f>
        <v>02</v>
      </c>
      <c r="G1527" s="4" t="s">
        <v>12</v>
      </c>
      <c r="H1527" s="5">
        <v>0</v>
      </c>
      <c r="I1527" s="6" t="s">
        <v>13</v>
      </c>
      <c r="J1527" s="4">
        <f>SUMPRODUCT(--((A1527=$A$3:$A$2785)*$H$3:$H$2785&gt;H1527))+1</f>
        <v>268</v>
      </c>
    </row>
    <row r="1528" s="1" customFormat="true" customHeight="true" spans="1:10">
      <c r="A1528" s="4" t="str">
        <f t="shared" ref="A1528:A1591" si="185">"021"</f>
        <v>021</v>
      </c>
      <c r="B1528" s="4" t="s">
        <v>33</v>
      </c>
      <c r="C1528" s="4" t="str">
        <f>"刘羽婧"</f>
        <v>刘羽婧</v>
      </c>
      <c r="D1528" s="4" t="str">
        <f>"2021011704"</f>
        <v>2021011704</v>
      </c>
      <c r="E1528" s="4" t="str">
        <f t="shared" si="184"/>
        <v>17</v>
      </c>
      <c r="F1528" s="4" t="str">
        <f>"04"</f>
        <v>04</v>
      </c>
      <c r="G1528" s="4" t="s">
        <v>12</v>
      </c>
      <c r="H1528" s="5">
        <v>0</v>
      </c>
      <c r="I1528" s="6" t="s">
        <v>13</v>
      </c>
      <c r="J1528" s="4">
        <f>SUMPRODUCT(--((A1528=$A$3:$A$2785)*$H$3:$H$2785&gt;H1528))+1</f>
        <v>268</v>
      </c>
    </row>
    <row r="1529" s="1" customFormat="true" customHeight="true" spans="1:10">
      <c r="A1529" s="4" t="str">
        <f t="shared" si="185"/>
        <v>021</v>
      </c>
      <c r="B1529" s="4" t="s">
        <v>33</v>
      </c>
      <c r="C1529" s="4" t="str">
        <f>"王敏"</f>
        <v>王敏</v>
      </c>
      <c r="D1529" s="4" t="str">
        <f>"2021011705"</f>
        <v>2021011705</v>
      </c>
      <c r="E1529" s="4" t="str">
        <f t="shared" si="184"/>
        <v>17</v>
      </c>
      <c r="F1529" s="4" t="str">
        <f>"05"</f>
        <v>05</v>
      </c>
      <c r="G1529" s="4" t="s">
        <v>12</v>
      </c>
      <c r="H1529" s="5">
        <v>0</v>
      </c>
      <c r="I1529" s="6" t="s">
        <v>13</v>
      </c>
      <c r="J1529" s="4">
        <f>SUMPRODUCT(--((A1529=$A$3:$A$2785)*$H$3:$H$2785&gt;H1529))+1</f>
        <v>268</v>
      </c>
    </row>
    <row r="1530" s="1" customFormat="true" customHeight="true" spans="1:10">
      <c r="A1530" s="4" t="str">
        <f t="shared" si="185"/>
        <v>021</v>
      </c>
      <c r="B1530" s="4" t="s">
        <v>33</v>
      </c>
      <c r="C1530" s="4" t="str">
        <f>"戴黛"</f>
        <v>戴黛</v>
      </c>
      <c r="D1530" s="4" t="str">
        <f>"2021011706"</f>
        <v>2021011706</v>
      </c>
      <c r="E1530" s="4" t="str">
        <f t="shared" si="184"/>
        <v>17</v>
      </c>
      <c r="F1530" s="4" t="str">
        <f>"06"</f>
        <v>06</v>
      </c>
      <c r="G1530" s="4" t="s">
        <v>12</v>
      </c>
      <c r="H1530" s="5">
        <v>0</v>
      </c>
      <c r="I1530" s="6" t="s">
        <v>13</v>
      </c>
      <c r="J1530" s="4">
        <f>SUMPRODUCT(--((A1530=$A$3:$A$2785)*$H$3:$H$2785&gt;H1530))+1</f>
        <v>268</v>
      </c>
    </row>
    <row r="1531" s="1" customFormat="true" customHeight="true" spans="1:10">
      <c r="A1531" s="4" t="str">
        <f t="shared" si="185"/>
        <v>021</v>
      </c>
      <c r="B1531" s="4" t="s">
        <v>33</v>
      </c>
      <c r="C1531" s="4" t="str">
        <f>"魏艳丽"</f>
        <v>魏艳丽</v>
      </c>
      <c r="D1531" s="4" t="str">
        <f>"2021011707"</f>
        <v>2021011707</v>
      </c>
      <c r="E1531" s="4" t="str">
        <f t="shared" si="184"/>
        <v>17</v>
      </c>
      <c r="F1531" s="4" t="str">
        <f>"07"</f>
        <v>07</v>
      </c>
      <c r="G1531" s="4" t="s">
        <v>12</v>
      </c>
      <c r="H1531" s="5">
        <v>0</v>
      </c>
      <c r="I1531" s="6" t="s">
        <v>13</v>
      </c>
      <c r="J1531" s="4">
        <f>SUMPRODUCT(--((A1531=$A$3:$A$2785)*$H$3:$H$2785&gt;H1531))+1</f>
        <v>268</v>
      </c>
    </row>
    <row r="1532" s="1" customFormat="true" customHeight="true" spans="1:10">
      <c r="A1532" s="4" t="str">
        <f t="shared" si="185"/>
        <v>021</v>
      </c>
      <c r="B1532" s="4" t="s">
        <v>33</v>
      </c>
      <c r="C1532" s="4" t="str">
        <f>"杨娜"</f>
        <v>杨娜</v>
      </c>
      <c r="D1532" s="4" t="str">
        <f>"2021011708"</f>
        <v>2021011708</v>
      </c>
      <c r="E1532" s="4" t="str">
        <f t="shared" si="184"/>
        <v>17</v>
      </c>
      <c r="F1532" s="4" t="str">
        <f>"08"</f>
        <v>08</v>
      </c>
      <c r="G1532" s="4" t="s">
        <v>12</v>
      </c>
      <c r="H1532" s="5">
        <v>0</v>
      </c>
      <c r="I1532" s="6" t="s">
        <v>13</v>
      </c>
      <c r="J1532" s="4">
        <f>SUMPRODUCT(--((A1532=$A$3:$A$2785)*$H$3:$H$2785&gt;H1532))+1</f>
        <v>268</v>
      </c>
    </row>
    <row r="1533" s="1" customFormat="true" customHeight="true" spans="1:10">
      <c r="A1533" s="4" t="str">
        <f t="shared" si="185"/>
        <v>021</v>
      </c>
      <c r="B1533" s="4" t="s">
        <v>33</v>
      </c>
      <c r="C1533" s="4" t="str">
        <f>"龙丽"</f>
        <v>龙丽</v>
      </c>
      <c r="D1533" s="4" t="str">
        <f>"2021011709"</f>
        <v>2021011709</v>
      </c>
      <c r="E1533" s="4" t="str">
        <f t="shared" si="184"/>
        <v>17</v>
      </c>
      <c r="F1533" s="4" t="str">
        <f>"09"</f>
        <v>09</v>
      </c>
      <c r="G1533" s="4" t="s">
        <v>12</v>
      </c>
      <c r="H1533" s="5">
        <v>0</v>
      </c>
      <c r="I1533" s="6" t="s">
        <v>13</v>
      </c>
      <c r="J1533" s="4">
        <f>SUMPRODUCT(--((A1533=$A$3:$A$2785)*$H$3:$H$2785&gt;H1533))+1</f>
        <v>268</v>
      </c>
    </row>
    <row r="1534" s="1" customFormat="true" customHeight="true" spans="1:10">
      <c r="A1534" s="4" t="str">
        <f t="shared" si="185"/>
        <v>021</v>
      </c>
      <c r="B1534" s="4" t="s">
        <v>33</v>
      </c>
      <c r="C1534" s="4" t="str">
        <f>"石云丹"</f>
        <v>石云丹</v>
      </c>
      <c r="D1534" s="4" t="str">
        <f>"2021011716"</f>
        <v>2021011716</v>
      </c>
      <c r="E1534" s="4" t="str">
        <f t="shared" si="184"/>
        <v>17</v>
      </c>
      <c r="F1534" s="4" t="str">
        <f>"16"</f>
        <v>16</v>
      </c>
      <c r="G1534" s="4" t="s">
        <v>12</v>
      </c>
      <c r="H1534" s="5">
        <v>0</v>
      </c>
      <c r="I1534" s="6" t="s">
        <v>13</v>
      </c>
      <c r="J1534" s="4">
        <f>SUMPRODUCT(--((A1534=$A$3:$A$2785)*$H$3:$H$2785&gt;H1534))+1</f>
        <v>268</v>
      </c>
    </row>
    <row r="1535" s="1" customFormat="true" customHeight="true" spans="1:10">
      <c r="A1535" s="4" t="str">
        <f t="shared" si="185"/>
        <v>021</v>
      </c>
      <c r="B1535" s="4" t="s">
        <v>33</v>
      </c>
      <c r="C1535" s="4" t="str">
        <f>"邓纯"</f>
        <v>邓纯</v>
      </c>
      <c r="D1535" s="4" t="str">
        <f>"2021011718"</f>
        <v>2021011718</v>
      </c>
      <c r="E1535" s="4" t="str">
        <f t="shared" si="184"/>
        <v>17</v>
      </c>
      <c r="F1535" s="4" t="str">
        <f>"18"</f>
        <v>18</v>
      </c>
      <c r="G1535" s="4" t="s">
        <v>12</v>
      </c>
      <c r="H1535" s="5">
        <v>0</v>
      </c>
      <c r="I1535" s="6" t="s">
        <v>13</v>
      </c>
      <c r="J1535" s="4">
        <f>SUMPRODUCT(--((A1535=$A$3:$A$2785)*$H$3:$H$2785&gt;H1535))+1</f>
        <v>268</v>
      </c>
    </row>
    <row r="1536" s="1" customFormat="true" customHeight="true" spans="1:10">
      <c r="A1536" s="4" t="str">
        <f t="shared" si="185"/>
        <v>021</v>
      </c>
      <c r="B1536" s="4" t="s">
        <v>33</v>
      </c>
      <c r="C1536" s="4" t="str">
        <f>"马文芝"</f>
        <v>马文芝</v>
      </c>
      <c r="D1536" s="4" t="str">
        <f>"2021011719"</f>
        <v>2021011719</v>
      </c>
      <c r="E1536" s="4" t="str">
        <f t="shared" si="184"/>
        <v>17</v>
      </c>
      <c r="F1536" s="4" t="str">
        <f>"19"</f>
        <v>19</v>
      </c>
      <c r="G1536" s="4" t="s">
        <v>12</v>
      </c>
      <c r="H1536" s="5">
        <v>0</v>
      </c>
      <c r="I1536" s="6" t="s">
        <v>13</v>
      </c>
      <c r="J1536" s="4">
        <f>SUMPRODUCT(--((A1536=$A$3:$A$2785)*$H$3:$H$2785&gt;H1536))+1</f>
        <v>268</v>
      </c>
    </row>
    <row r="1537" s="1" customFormat="true" customHeight="true" spans="1:10">
      <c r="A1537" s="4" t="str">
        <f t="shared" si="185"/>
        <v>021</v>
      </c>
      <c r="B1537" s="4" t="s">
        <v>33</v>
      </c>
      <c r="C1537" s="4" t="str">
        <f>"丁琳华"</f>
        <v>丁琳华</v>
      </c>
      <c r="D1537" s="4" t="str">
        <f>"2021011721"</f>
        <v>2021011721</v>
      </c>
      <c r="E1537" s="4" t="str">
        <f t="shared" si="184"/>
        <v>17</v>
      </c>
      <c r="F1537" s="4" t="str">
        <f>"21"</f>
        <v>21</v>
      </c>
      <c r="G1537" s="4" t="s">
        <v>12</v>
      </c>
      <c r="H1537" s="5">
        <v>0</v>
      </c>
      <c r="I1537" s="6" t="s">
        <v>13</v>
      </c>
      <c r="J1537" s="4">
        <f>SUMPRODUCT(--((A1537=$A$3:$A$2785)*$H$3:$H$2785&gt;H1537))+1</f>
        <v>268</v>
      </c>
    </row>
    <row r="1538" s="1" customFormat="true" customHeight="true" spans="1:10">
      <c r="A1538" s="4" t="str">
        <f t="shared" si="185"/>
        <v>021</v>
      </c>
      <c r="B1538" s="4" t="s">
        <v>33</v>
      </c>
      <c r="C1538" s="4" t="str">
        <f>"罗隆怡"</f>
        <v>罗隆怡</v>
      </c>
      <c r="D1538" s="4" t="str">
        <f>"2021011726"</f>
        <v>2021011726</v>
      </c>
      <c r="E1538" s="4" t="str">
        <f t="shared" si="184"/>
        <v>17</v>
      </c>
      <c r="F1538" s="4" t="str">
        <f>"26"</f>
        <v>26</v>
      </c>
      <c r="G1538" s="4" t="s">
        <v>12</v>
      </c>
      <c r="H1538" s="5">
        <v>0</v>
      </c>
      <c r="I1538" s="6" t="s">
        <v>13</v>
      </c>
      <c r="J1538" s="4">
        <f>SUMPRODUCT(--((A1538=$A$3:$A$2785)*$H$3:$H$2785&gt;H1538))+1</f>
        <v>268</v>
      </c>
    </row>
    <row r="1539" s="1" customFormat="true" customHeight="true" spans="1:10">
      <c r="A1539" s="4" t="str">
        <f t="shared" si="185"/>
        <v>021</v>
      </c>
      <c r="B1539" s="4" t="s">
        <v>33</v>
      </c>
      <c r="C1539" s="4" t="str">
        <f>"邹海莹"</f>
        <v>邹海莹</v>
      </c>
      <c r="D1539" s="4" t="str">
        <f>"2021011728"</f>
        <v>2021011728</v>
      </c>
      <c r="E1539" s="4" t="str">
        <f t="shared" si="184"/>
        <v>17</v>
      </c>
      <c r="F1539" s="4" t="str">
        <f>"28"</f>
        <v>28</v>
      </c>
      <c r="G1539" s="4" t="s">
        <v>12</v>
      </c>
      <c r="H1539" s="5">
        <v>0</v>
      </c>
      <c r="I1539" s="6" t="s">
        <v>13</v>
      </c>
      <c r="J1539" s="4">
        <f>SUMPRODUCT(--((A1539=$A$3:$A$2785)*$H$3:$H$2785&gt;H1539))+1</f>
        <v>268</v>
      </c>
    </row>
    <row r="1540" s="1" customFormat="true" customHeight="true" spans="1:10">
      <c r="A1540" s="4" t="str">
        <f t="shared" si="185"/>
        <v>021</v>
      </c>
      <c r="B1540" s="4" t="s">
        <v>33</v>
      </c>
      <c r="C1540" s="4" t="str">
        <f>"田媛媛"</f>
        <v>田媛媛</v>
      </c>
      <c r="D1540" s="4" t="str">
        <f>"2021011729"</f>
        <v>2021011729</v>
      </c>
      <c r="E1540" s="4" t="str">
        <f t="shared" si="184"/>
        <v>17</v>
      </c>
      <c r="F1540" s="4" t="str">
        <f>"29"</f>
        <v>29</v>
      </c>
      <c r="G1540" s="4" t="s">
        <v>12</v>
      </c>
      <c r="H1540" s="5">
        <v>0</v>
      </c>
      <c r="I1540" s="6" t="s">
        <v>13</v>
      </c>
      <c r="J1540" s="4">
        <f>SUMPRODUCT(--((A1540=$A$3:$A$2785)*$H$3:$H$2785&gt;H1540))+1</f>
        <v>268</v>
      </c>
    </row>
    <row r="1541" s="1" customFormat="true" customHeight="true" spans="1:10">
      <c r="A1541" s="4" t="str">
        <f t="shared" si="185"/>
        <v>021</v>
      </c>
      <c r="B1541" s="4" t="s">
        <v>33</v>
      </c>
      <c r="C1541" s="4" t="str">
        <f>"左佳琳"</f>
        <v>左佳琳</v>
      </c>
      <c r="D1541" s="4" t="str">
        <f>"2021011730"</f>
        <v>2021011730</v>
      </c>
      <c r="E1541" s="4" t="str">
        <f t="shared" si="184"/>
        <v>17</v>
      </c>
      <c r="F1541" s="4" t="str">
        <f>"30"</f>
        <v>30</v>
      </c>
      <c r="G1541" s="4" t="s">
        <v>12</v>
      </c>
      <c r="H1541" s="5">
        <v>0</v>
      </c>
      <c r="I1541" s="6" t="s">
        <v>13</v>
      </c>
      <c r="J1541" s="4">
        <f>SUMPRODUCT(--((A1541=$A$3:$A$2785)*$H$3:$H$2785&gt;H1541))+1</f>
        <v>268</v>
      </c>
    </row>
    <row r="1542" s="1" customFormat="true" customHeight="true" spans="1:10">
      <c r="A1542" s="4" t="str">
        <f t="shared" si="185"/>
        <v>021</v>
      </c>
      <c r="B1542" s="4" t="s">
        <v>33</v>
      </c>
      <c r="C1542" s="4" t="str">
        <f>"黄歆宜"</f>
        <v>黄歆宜</v>
      </c>
      <c r="D1542" s="4" t="str">
        <f>"2021011801"</f>
        <v>2021011801</v>
      </c>
      <c r="E1542" s="4" t="str">
        <f t="shared" ref="E1542:E1558" si="186">"18"</f>
        <v>18</v>
      </c>
      <c r="F1542" s="4" t="str">
        <f>"01"</f>
        <v>01</v>
      </c>
      <c r="G1542" s="4" t="s">
        <v>12</v>
      </c>
      <c r="H1542" s="5">
        <v>0</v>
      </c>
      <c r="I1542" s="6" t="s">
        <v>13</v>
      </c>
      <c r="J1542" s="4">
        <f>SUMPRODUCT(--((A1542=$A$3:$A$2785)*$H$3:$H$2785&gt;H1542))+1</f>
        <v>268</v>
      </c>
    </row>
    <row r="1543" s="1" customFormat="true" customHeight="true" spans="1:10">
      <c r="A1543" s="4" t="str">
        <f t="shared" si="185"/>
        <v>021</v>
      </c>
      <c r="B1543" s="4" t="s">
        <v>33</v>
      </c>
      <c r="C1543" s="4" t="str">
        <f>"杨婷"</f>
        <v>杨婷</v>
      </c>
      <c r="D1543" s="4" t="str">
        <f>"2021011802"</f>
        <v>2021011802</v>
      </c>
      <c r="E1543" s="4" t="str">
        <f t="shared" si="186"/>
        <v>18</v>
      </c>
      <c r="F1543" s="4" t="str">
        <f>"02"</f>
        <v>02</v>
      </c>
      <c r="G1543" s="4" t="s">
        <v>12</v>
      </c>
      <c r="H1543" s="5">
        <v>0</v>
      </c>
      <c r="I1543" s="6" t="s">
        <v>13</v>
      </c>
      <c r="J1543" s="4">
        <f>SUMPRODUCT(--((A1543=$A$3:$A$2785)*$H$3:$H$2785&gt;H1543))+1</f>
        <v>268</v>
      </c>
    </row>
    <row r="1544" s="1" customFormat="true" customHeight="true" spans="1:10">
      <c r="A1544" s="4" t="str">
        <f t="shared" si="185"/>
        <v>021</v>
      </c>
      <c r="B1544" s="4" t="s">
        <v>33</v>
      </c>
      <c r="C1544" s="4" t="str">
        <f>"赵玲玲"</f>
        <v>赵玲玲</v>
      </c>
      <c r="D1544" s="4" t="str">
        <f>"2021011803"</f>
        <v>2021011803</v>
      </c>
      <c r="E1544" s="4" t="str">
        <f t="shared" si="186"/>
        <v>18</v>
      </c>
      <c r="F1544" s="4" t="str">
        <f>"03"</f>
        <v>03</v>
      </c>
      <c r="G1544" s="4" t="s">
        <v>12</v>
      </c>
      <c r="H1544" s="5">
        <v>0</v>
      </c>
      <c r="I1544" s="6" t="s">
        <v>13</v>
      </c>
      <c r="J1544" s="4">
        <f>SUMPRODUCT(--((A1544=$A$3:$A$2785)*$H$3:$H$2785&gt;H1544))+1</f>
        <v>268</v>
      </c>
    </row>
    <row r="1545" s="1" customFormat="true" customHeight="true" spans="1:10">
      <c r="A1545" s="4" t="str">
        <f t="shared" si="185"/>
        <v>021</v>
      </c>
      <c r="B1545" s="4" t="s">
        <v>33</v>
      </c>
      <c r="C1545" s="4" t="str">
        <f>"张娇"</f>
        <v>张娇</v>
      </c>
      <c r="D1545" s="4" t="str">
        <f>"2021011805"</f>
        <v>2021011805</v>
      </c>
      <c r="E1545" s="4" t="str">
        <f t="shared" si="186"/>
        <v>18</v>
      </c>
      <c r="F1545" s="4" t="str">
        <f>"05"</f>
        <v>05</v>
      </c>
      <c r="G1545" s="4" t="s">
        <v>12</v>
      </c>
      <c r="H1545" s="5">
        <v>0</v>
      </c>
      <c r="I1545" s="6" t="s">
        <v>13</v>
      </c>
      <c r="J1545" s="4">
        <f>SUMPRODUCT(--((A1545=$A$3:$A$2785)*$H$3:$H$2785&gt;H1545))+1</f>
        <v>268</v>
      </c>
    </row>
    <row r="1546" s="1" customFormat="true" customHeight="true" spans="1:10">
      <c r="A1546" s="4" t="str">
        <f t="shared" si="185"/>
        <v>021</v>
      </c>
      <c r="B1546" s="4" t="s">
        <v>33</v>
      </c>
      <c r="C1546" s="4" t="str">
        <f>"瞿雅婕"</f>
        <v>瞿雅婕</v>
      </c>
      <c r="D1546" s="4" t="str">
        <f>"2021011806"</f>
        <v>2021011806</v>
      </c>
      <c r="E1546" s="4" t="str">
        <f t="shared" si="186"/>
        <v>18</v>
      </c>
      <c r="F1546" s="4" t="str">
        <f>"06"</f>
        <v>06</v>
      </c>
      <c r="G1546" s="4" t="s">
        <v>12</v>
      </c>
      <c r="H1546" s="5">
        <v>0</v>
      </c>
      <c r="I1546" s="6" t="s">
        <v>13</v>
      </c>
      <c r="J1546" s="4">
        <f>SUMPRODUCT(--((A1546=$A$3:$A$2785)*$H$3:$H$2785&gt;H1546))+1</f>
        <v>268</v>
      </c>
    </row>
    <row r="1547" s="1" customFormat="true" customHeight="true" spans="1:10">
      <c r="A1547" s="4" t="str">
        <f t="shared" si="185"/>
        <v>021</v>
      </c>
      <c r="B1547" s="4" t="s">
        <v>33</v>
      </c>
      <c r="C1547" s="4" t="str">
        <f>"杨飞燕"</f>
        <v>杨飞燕</v>
      </c>
      <c r="D1547" s="4" t="str">
        <f>"2021011808"</f>
        <v>2021011808</v>
      </c>
      <c r="E1547" s="4" t="str">
        <f t="shared" si="186"/>
        <v>18</v>
      </c>
      <c r="F1547" s="4" t="str">
        <f>"08"</f>
        <v>08</v>
      </c>
      <c r="G1547" s="4" t="s">
        <v>12</v>
      </c>
      <c r="H1547" s="5">
        <v>0</v>
      </c>
      <c r="I1547" s="6" t="s">
        <v>13</v>
      </c>
      <c r="J1547" s="4">
        <f>SUMPRODUCT(--((A1547=$A$3:$A$2785)*$H$3:$H$2785&gt;H1547))+1</f>
        <v>268</v>
      </c>
    </row>
    <row r="1548" s="1" customFormat="true" customHeight="true" spans="1:10">
      <c r="A1548" s="4" t="str">
        <f t="shared" si="185"/>
        <v>021</v>
      </c>
      <c r="B1548" s="4" t="s">
        <v>33</v>
      </c>
      <c r="C1548" s="4" t="str">
        <f>"陈卓莹"</f>
        <v>陈卓莹</v>
      </c>
      <c r="D1548" s="4" t="str">
        <f>"2021011809"</f>
        <v>2021011809</v>
      </c>
      <c r="E1548" s="4" t="str">
        <f t="shared" si="186"/>
        <v>18</v>
      </c>
      <c r="F1548" s="4" t="str">
        <f>"09"</f>
        <v>09</v>
      </c>
      <c r="G1548" s="4" t="s">
        <v>12</v>
      </c>
      <c r="H1548" s="5">
        <v>0</v>
      </c>
      <c r="I1548" s="6" t="s">
        <v>13</v>
      </c>
      <c r="J1548" s="4">
        <f>SUMPRODUCT(--((A1548=$A$3:$A$2785)*$H$3:$H$2785&gt;H1548))+1</f>
        <v>268</v>
      </c>
    </row>
    <row r="1549" s="1" customFormat="true" customHeight="true" spans="1:10">
      <c r="A1549" s="4" t="str">
        <f t="shared" si="185"/>
        <v>021</v>
      </c>
      <c r="B1549" s="4" t="s">
        <v>33</v>
      </c>
      <c r="C1549" s="4" t="str">
        <f>"邓敏"</f>
        <v>邓敏</v>
      </c>
      <c r="D1549" s="4" t="str">
        <f>"2021011810"</f>
        <v>2021011810</v>
      </c>
      <c r="E1549" s="4" t="str">
        <f t="shared" si="186"/>
        <v>18</v>
      </c>
      <c r="F1549" s="4" t="str">
        <f>"10"</f>
        <v>10</v>
      </c>
      <c r="G1549" s="4" t="s">
        <v>12</v>
      </c>
      <c r="H1549" s="5">
        <v>0</v>
      </c>
      <c r="I1549" s="6" t="s">
        <v>13</v>
      </c>
      <c r="J1549" s="4">
        <f>SUMPRODUCT(--((A1549=$A$3:$A$2785)*$H$3:$H$2785&gt;H1549))+1</f>
        <v>268</v>
      </c>
    </row>
    <row r="1550" s="1" customFormat="true" customHeight="true" spans="1:10">
      <c r="A1550" s="4" t="str">
        <f t="shared" si="185"/>
        <v>021</v>
      </c>
      <c r="B1550" s="4" t="s">
        <v>33</v>
      </c>
      <c r="C1550" s="4" t="str">
        <f>"李雪"</f>
        <v>李雪</v>
      </c>
      <c r="D1550" s="4" t="str">
        <f>"2021011811"</f>
        <v>2021011811</v>
      </c>
      <c r="E1550" s="4" t="str">
        <f t="shared" si="186"/>
        <v>18</v>
      </c>
      <c r="F1550" s="4" t="str">
        <f>"11"</f>
        <v>11</v>
      </c>
      <c r="G1550" s="4" t="s">
        <v>12</v>
      </c>
      <c r="H1550" s="5">
        <v>0</v>
      </c>
      <c r="I1550" s="6" t="s">
        <v>13</v>
      </c>
      <c r="J1550" s="4">
        <f>SUMPRODUCT(--((A1550=$A$3:$A$2785)*$H$3:$H$2785&gt;H1550))+1</f>
        <v>268</v>
      </c>
    </row>
    <row r="1551" s="1" customFormat="true" customHeight="true" spans="1:10">
      <c r="A1551" s="4" t="str">
        <f t="shared" si="185"/>
        <v>021</v>
      </c>
      <c r="B1551" s="4" t="s">
        <v>33</v>
      </c>
      <c r="C1551" s="4" t="str">
        <f>"钟艳萍"</f>
        <v>钟艳萍</v>
      </c>
      <c r="D1551" s="4" t="str">
        <f>"2021011817"</f>
        <v>2021011817</v>
      </c>
      <c r="E1551" s="4" t="str">
        <f t="shared" si="186"/>
        <v>18</v>
      </c>
      <c r="F1551" s="4" t="str">
        <f>"17"</f>
        <v>17</v>
      </c>
      <c r="G1551" s="4" t="s">
        <v>12</v>
      </c>
      <c r="H1551" s="5">
        <v>0</v>
      </c>
      <c r="I1551" s="6" t="s">
        <v>13</v>
      </c>
      <c r="J1551" s="4">
        <f>SUMPRODUCT(--((A1551=$A$3:$A$2785)*$H$3:$H$2785&gt;H1551))+1</f>
        <v>268</v>
      </c>
    </row>
    <row r="1552" s="1" customFormat="true" customHeight="true" spans="1:10">
      <c r="A1552" s="4" t="str">
        <f t="shared" si="185"/>
        <v>021</v>
      </c>
      <c r="B1552" s="4" t="s">
        <v>33</v>
      </c>
      <c r="C1552" s="4" t="str">
        <f>"尹芳"</f>
        <v>尹芳</v>
      </c>
      <c r="D1552" s="4" t="str">
        <f>"2021011821"</f>
        <v>2021011821</v>
      </c>
      <c r="E1552" s="4" t="str">
        <f t="shared" si="186"/>
        <v>18</v>
      </c>
      <c r="F1552" s="4" t="str">
        <f>"21"</f>
        <v>21</v>
      </c>
      <c r="G1552" s="4" t="s">
        <v>12</v>
      </c>
      <c r="H1552" s="5">
        <v>0</v>
      </c>
      <c r="I1552" s="6" t="s">
        <v>13</v>
      </c>
      <c r="J1552" s="4">
        <f>SUMPRODUCT(--((A1552=$A$3:$A$2785)*$H$3:$H$2785&gt;H1552))+1</f>
        <v>268</v>
      </c>
    </row>
    <row r="1553" s="1" customFormat="true" customHeight="true" spans="1:10">
      <c r="A1553" s="4" t="str">
        <f t="shared" si="185"/>
        <v>021</v>
      </c>
      <c r="B1553" s="4" t="s">
        <v>33</v>
      </c>
      <c r="C1553" s="4" t="str">
        <f>"龙伟"</f>
        <v>龙伟</v>
      </c>
      <c r="D1553" s="4" t="str">
        <f>"2021011822"</f>
        <v>2021011822</v>
      </c>
      <c r="E1553" s="4" t="str">
        <f t="shared" si="186"/>
        <v>18</v>
      </c>
      <c r="F1553" s="4" t="str">
        <f>"22"</f>
        <v>22</v>
      </c>
      <c r="G1553" s="4" t="s">
        <v>12</v>
      </c>
      <c r="H1553" s="5">
        <v>0</v>
      </c>
      <c r="I1553" s="6" t="s">
        <v>13</v>
      </c>
      <c r="J1553" s="4">
        <f>SUMPRODUCT(--((A1553=$A$3:$A$2785)*$H$3:$H$2785&gt;H1553))+1</f>
        <v>268</v>
      </c>
    </row>
    <row r="1554" s="1" customFormat="true" customHeight="true" spans="1:10">
      <c r="A1554" s="4" t="str">
        <f t="shared" si="185"/>
        <v>021</v>
      </c>
      <c r="B1554" s="4" t="s">
        <v>33</v>
      </c>
      <c r="C1554" s="4" t="str">
        <f>"朱婷婷"</f>
        <v>朱婷婷</v>
      </c>
      <c r="D1554" s="4" t="str">
        <f>"2021011824"</f>
        <v>2021011824</v>
      </c>
      <c r="E1554" s="4" t="str">
        <f t="shared" si="186"/>
        <v>18</v>
      </c>
      <c r="F1554" s="4" t="str">
        <f>"24"</f>
        <v>24</v>
      </c>
      <c r="G1554" s="4" t="s">
        <v>12</v>
      </c>
      <c r="H1554" s="5">
        <v>0</v>
      </c>
      <c r="I1554" s="6" t="s">
        <v>13</v>
      </c>
      <c r="J1554" s="4">
        <f>SUMPRODUCT(--((A1554=$A$3:$A$2785)*$H$3:$H$2785&gt;H1554))+1</f>
        <v>268</v>
      </c>
    </row>
    <row r="1555" s="1" customFormat="true" customHeight="true" spans="1:10">
      <c r="A1555" s="4" t="str">
        <f t="shared" si="185"/>
        <v>021</v>
      </c>
      <c r="B1555" s="4" t="s">
        <v>33</v>
      </c>
      <c r="C1555" s="4" t="str">
        <f>"向金桂"</f>
        <v>向金桂</v>
      </c>
      <c r="D1555" s="4" t="str">
        <f>"2021011825"</f>
        <v>2021011825</v>
      </c>
      <c r="E1555" s="4" t="str">
        <f t="shared" si="186"/>
        <v>18</v>
      </c>
      <c r="F1555" s="4" t="str">
        <f>"25"</f>
        <v>25</v>
      </c>
      <c r="G1555" s="4" t="s">
        <v>12</v>
      </c>
      <c r="H1555" s="5">
        <v>0</v>
      </c>
      <c r="I1555" s="6" t="s">
        <v>13</v>
      </c>
      <c r="J1555" s="4">
        <f>SUMPRODUCT(--((A1555=$A$3:$A$2785)*$H$3:$H$2785&gt;H1555))+1</f>
        <v>268</v>
      </c>
    </row>
    <row r="1556" s="1" customFormat="true" customHeight="true" spans="1:10">
      <c r="A1556" s="4" t="str">
        <f t="shared" si="185"/>
        <v>021</v>
      </c>
      <c r="B1556" s="4" t="s">
        <v>33</v>
      </c>
      <c r="C1556" s="4" t="str">
        <f>"张雅丽"</f>
        <v>张雅丽</v>
      </c>
      <c r="D1556" s="4" t="str">
        <f>"2021011828"</f>
        <v>2021011828</v>
      </c>
      <c r="E1556" s="4" t="str">
        <f t="shared" si="186"/>
        <v>18</v>
      </c>
      <c r="F1556" s="4" t="str">
        <f>"28"</f>
        <v>28</v>
      </c>
      <c r="G1556" s="4" t="s">
        <v>12</v>
      </c>
      <c r="H1556" s="5">
        <v>0</v>
      </c>
      <c r="I1556" s="6" t="s">
        <v>13</v>
      </c>
      <c r="J1556" s="4">
        <f>SUMPRODUCT(--((A1556=$A$3:$A$2785)*$H$3:$H$2785&gt;H1556))+1</f>
        <v>268</v>
      </c>
    </row>
    <row r="1557" s="1" customFormat="true" customHeight="true" spans="1:10">
      <c r="A1557" s="4" t="str">
        <f t="shared" si="185"/>
        <v>021</v>
      </c>
      <c r="B1557" s="4" t="s">
        <v>33</v>
      </c>
      <c r="C1557" s="4" t="str">
        <f>"向婷"</f>
        <v>向婷</v>
      </c>
      <c r="D1557" s="4" t="str">
        <f>"2021011829"</f>
        <v>2021011829</v>
      </c>
      <c r="E1557" s="4" t="str">
        <f t="shared" si="186"/>
        <v>18</v>
      </c>
      <c r="F1557" s="4" t="str">
        <f>"29"</f>
        <v>29</v>
      </c>
      <c r="G1557" s="4" t="s">
        <v>12</v>
      </c>
      <c r="H1557" s="5">
        <v>0</v>
      </c>
      <c r="I1557" s="6" t="s">
        <v>13</v>
      </c>
      <c r="J1557" s="4">
        <f>SUMPRODUCT(--((A1557=$A$3:$A$2785)*$H$3:$H$2785&gt;H1557))+1</f>
        <v>268</v>
      </c>
    </row>
    <row r="1558" s="1" customFormat="true" customHeight="true" spans="1:10">
      <c r="A1558" s="4" t="str">
        <f t="shared" si="185"/>
        <v>021</v>
      </c>
      <c r="B1558" s="4" t="s">
        <v>33</v>
      </c>
      <c r="C1558" s="4" t="str">
        <f>"王巧琳"</f>
        <v>王巧琳</v>
      </c>
      <c r="D1558" s="4" t="str">
        <f>"2021011830"</f>
        <v>2021011830</v>
      </c>
      <c r="E1558" s="4" t="str">
        <f t="shared" si="186"/>
        <v>18</v>
      </c>
      <c r="F1558" s="4" t="str">
        <f>"30"</f>
        <v>30</v>
      </c>
      <c r="G1558" s="4" t="s">
        <v>12</v>
      </c>
      <c r="H1558" s="5">
        <v>0</v>
      </c>
      <c r="I1558" s="6" t="s">
        <v>13</v>
      </c>
      <c r="J1558" s="4">
        <f>SUMPRODUCT(--((A1558=$A$3:$A$2785)*$H$3:$H$2785&gt;H1558))+1</f>
        <v>268</v>
      </c>
    </row>
    <row r="1559" s="1" customFormat="true" customHeight="true" spans="1:10">
      <c r="A1559" s="4" t="str">
        <f t="shared" si="185"/>
        <v>021</v>
      </c>
      <c r="B1559" s="4" t="s">
        <v>33</v>
      </c>
      <c r="C1559" s="4" t="str">
        <f>"储榕"</f>
        <v>储榕</v>
      </c>
      <c r="D1559" s="4" t="str">
        <f>"2021011901"</f>
        <v>2021011901</v>
      </c>
      <c r="E1559" s="4" t="str">
        <f t="shared" ref="E1559:E1575" si="187">"19"</f>
        <v>19</v>
      </c>
      <c r="F1559" s="4" t="str">
        <f>"01"</f>
        <v>01</v>
      </c>
      <c r="G1559" s="4" t="s">
        <v>12</v>
      </c>
      <c r="H1559" s="5">
        <v>0</v>
      </c>
      <c r="I1559" s="6" t="s">
        <v>13</v>
      </c>
      <c r="J1559" s="4">
        <f>SUMPRODUCT(--((A1559=$A$3:$A$2785)*$H$3:$H$2785&gt;H1559))+1</f>
        <v>268</v>
      </c>
    </row>
    <row r="1560" s="1" customFormat="true" customHeight="true" spans="1:10">
      <c r="A1560" s="4" t="str">
        <f t="shared" si="185"/>
        <v>021</v>
      </c>
      <c r="B1560" s="4" t="s">
        <v>33</v>
      </c>
      <c r="C1560" s="4" t="str">
        <f>"魏湘君"</f>
        <v>魏湘君</v>
      </c>
      <c r="D1560" s="4" t="str">
        <f>"2021011902"</f>
        <v>2021011902</v>
      </c>
      <c r="E1560" s="4" t="str">
        <f t="shared" si="187"/>
        <v>19</v>
      </c>
      <c r="F1560" s="4" t="str">
        <f>"02"</f>
        <v>02</v>
      </c>
      <c r="G1560" s="4" t="s">
        <v>12</v>
      </c>
      <c r="H1560" s="5">
        <v>0</v>
      </c>
      <c r="I1560" s="6" t="s">
        <v>13</v>
      </c>
      <c r="J1560" s="4">
        <f>SUMPRODUCT(--((A1560=$A$3:$A$2785)*$H$3:$H$2785&gt;H1560))+1</f>
        <v>268</v>
      </c>
    </row>
    <row r="1561" s="1" customFormat="true" customHeight="true" spans="1:10">
      <c r="A1561" s="4" t="str">
        <f t="shared" si="185"/>
        <v>021</v>
      </c>
      <c r="B1561" s="4" t="s">
        <v>33</v>
      </c>
      <c r="C1561" s="4" t="str">
        <f>"李启艳"</f>
        <v>李启艳</v>
      </c>
      <c r="D1561" s="4" t="str">
        <f>"2021011905"</f>
        <v>2021011905</v>
      </c>
      <c r="E1561" s="4" t="str">
        <f t="shared" si="187"/>
        <v>19</v>
      </c>
      <c r="F1561" s="4" t="str">
        <f>"05"</f>
        <v>05</v>
      </c>
      <c r="G1561" s="4" t="s">
        <v>12</v>
      </c>
      <c r="H1561" s="5">
        <v>0</v>
      </c>
      <c r="I1561" s="6" t="s">
        <v>13</v>
      </c>
      <c r="J1561" s="4">
        <f>SUMPRODUCT(--((A1561=$A$3:$A$2785)*$H$3:$H$2785&gt;H1561))+1</f>
        <v>268</v>
      </c>
    </row>
    <row r="1562" s="1" customFormat="true" customHeight="true" spans="1:10">
      <c r="A1562" s="4" t="str">
        <f t="shared" si="185"/>
        <v>021</v>
      </c>
      <c r="B1562" s="4" t="s">
        <v>33</v>
      </c>
      <c r="C1562" s="4" t="str">
        <f>"刘朵朵"</f>
        <v>刘朵朵</v>
      </c>
      <c r="D1562" s="4" t="str">
        <f>"2021011906"</f>
        <v>2021011906</v>
      </c>
      <c r="E1562" s="4" t="str">
        <f t="shared" si="187"/>
        <v>19</v>
      </c>
      <c r="F1562" s="4" t="str">
        <f>"06"</f>
        <v>06</v>
      </c>
      <c r="G1562" s="4" t="s">
        <v>12</v>
      </c>
      <c r="H1562" s="5">
        <v>0</v>
      </c>
      <c r="I1562" s="6" t="s">
        <v>13</v>
      </c>
      <c r="J1562" s="4">
        <f>SUMPRODUCT(--((A1562=$A$3:$A$2785)*$H$3:$H$2785&gt;H1562))+1</f>
        <v>268</v>
      </c>
    </row>
    <row r="1563" s="1" customFormat="true" customHeight="true" spans="1:10">
      <c r="A1563" s="4" t="str">
        <f t="shared" si="185"/>
        <v>021</v>
      </c>
      <c r="B1563" s="4" t="s">
        <v>33</v>
      </c>
      <c r="C1563" s="4" t="str">
        <f>"周杰"</f>
        <v>周杰</v>
      </c>
      <c r="D1563" s="4" t="str">
        <f>"2021011907"</f>
        <v>2021011907</v>
      </c>
      <c r="E1563" s="4" t="str">
        <f t="shared" si="187"/>
        <v>19</v>
      </c>
      <c r="F1563" s="4" t="str">
        <f>"07"</f>
        <v>07</v>
      </c>
      <c r="G1563" s="4" t="s">
        <v>12</v>
      </c>
      <c r="H1563" s="5">
        <v>0</v>
      </c>
      <c r="I1563" s="6" t="s">
        <v>13</v>
      </c>
      <c r="J1563" s="4">
        <f>SUMPRODUCT(--((A1563=$A$3:$A$2785)*$H$3:$H$2785&gt;H1563))+1</f>
        <v>268</v>
      </c>
    </row>
    <row r="1564" s="1" customFormat="true" customHeight="true" spans="1:10">
      <c r="A1564" s="4" t="str">
        <f t="shared" si="185"/>
        <v>021</v>
      </c>
      <c r="B1564" s="4" t="s">
        <v>33</v>
      </c>
      <c r="C1564" s="4" t="str">
        <f>"向乾祯"</f>
        <v>向乾祯</v>
      </c>
      <c r="D1564" s="4" t="str">
        <f>"2021011910"</f>
        <v>2021011910</v>
      </c>
      <c r="E1564" s="4" t="str">
        <f t="shared" si="187"/>
        <v>19</v>
      </c>
      <c r="F1564" s="4" t="str">
        <f>"10"</f>
        <v>10</v>
      </c>
      <c r="G1564" s="4" t="s">
        <v>12</v>
      </c>
      <c r="H1564" s="5">
        <v>0</v>
      </c>
      <c r="I1564" s="6" t="s">
        <v>13</v>
      </c>
      <c r="J1564" s="4">
        <f>SUMPRODUCT(--((A1564=$A$3:$A$2785)*$H$3:$H$2785&gt;H1564))+1</f>
        <v>268</v>
      </c>
    </row>
    <row r="1565" s="1" customFormat="true" customHeight="true" spans="1:10">
      <c r="A1565" s="4" t="str">
        <f t="shared" si="185"/>
        <v>021</v>
      </c>
      <c r="B1565" s="4" t="s">
        <v>33</v>
      </c>
      <c r="C1565" s="4" t="str">
        <f>"邓林"</f>
        <v>邓林</v>
      </c>
      <c r="D1565" s="4" t="str">
        <f>"2021011913"</f>
        <v>2021011913</v>
      </c>
      <c r="E1565" s="4" t="str">
        <f t="shared" si="187"/>
        <v>19</v>
      </c>
      <c r="F1565" s="4" t="str">
        <f>"13"</f>
        <v>13</v>
      </c>
      <c r="G1565" s="4" t="s">
        <v>12</v>
      </c>
      <c r="H1565" s="5">
        <v>0</v>
      </c>
      <c r="I1565" s="6" t="s">
        <v>13</v>
      </c>
      <c r="J1565" s="4">
        <f>SUMPRODUCT(--((A1565=$A$3:$A$2785)*$H$3:$H$2785&gt;H1565))+1</f>
        <v>268</v>
      </c>
    </row>
    <row r="1566" s="1" customFormat="true" customHeight="true" spans="1:10">
      <c r="A1566" s="4" t="str">
        <f t="shared" si="185"/>
        <v>021</v>
      </c>
      <c r="B1566" s="4" t="s">
        <v>33</v>
      </c>
      <c r="C1566" s="4" t="str">
        <f>"黄生辉"</f>
        <v>黄生辉</v>
      </c>
      <c r="D1566" s="4" t="str">
        <f>"2021011914"</f>
        <v>2021011914</v>
      </c>
      <c r="E1566" s="4" t="str">
        <f t="shared" si="187"/>
        <v>19</v>
      </c>
      <c r="F1566" s="4" t="str">
        <f>"14"</f>
        <v>14</v>
      </c>
      <c r="G1566" s="4" t="s">
        <v>12</v>
      </c>
      <c r="H1566" s="5">
        <v>0</v>
      </c>
      <c r="I1566" s="6" t="s">
        <v>13</v>
      </c>
      <c r="J1566" s="4">
        <f>SUMPRODUCT(--((A1566=$A$3:$A$2785)*$H$3:$H$2785&gt;H1566))+1</f>
        <v>268</v>
      </c>
    </row>
    <row r="1567" s="1" customFormat="true" customHeight="true" spans="1:10">
      <c r="A1567" s="4" t="str">
        <f t="shared" si="185"/>
        <v>021</v>
      </c>
      <c r="B1567" s="4" t="s">
        <v>33</v>
      </c>
      <c r="C1567" s="4" t="str">
        <f>"韩霞"</f>
        <v>韩霞</v>
      </c>
      <c r="D1567" s="4" t="str">
        <f>"2021011916"</f>
        <v>2021011916</v>
      </c>
      <c r="E1567" s="4" t="str">
        <f t="shared" si="187"/>
        <v>19</v>
      </c>
      <c r="F1567" s="4" t="str">
        <f>"16"</f>
        <v>16</v>
      </c>
      <c r="G1567" s="4" t="s">
        <v>12</v>
      </c>
      <c r="H1567" s="5">
        <v>0</v>
      </c>
      <c r="I1567" s="6" t="s">
        <v>13</v>
      </c>
      <c r="J1567" s="4">
        <f>SUMPRODUCT(--((A1567=$A$3:$A$2785)*$H$3:$H$2785&gt;H1567))+1</f>
        <v>268</v>
      </c>
    </row>
    <row r="1568" s="1" customFormat="true" customHeight="true" spans="1:10">
      <c r="A1568" s="4" t="str">
        <f t="shared" si="185"/>
        <v>021</v>
      </c>
      <c r="B1568" s="4" t="s">
        <v>33</v>
      </c>
      <c r="C1568" s="4" t="str">
        <f>"张娟娟"</f>
        <v>张娟娟</v>
      </c>
      <c r="D1568" s="4" t="str">
        <f>"2021011917"</f>
        <v>2021011917</v>
      </c>
      <c r="E1568" s="4" t="str">
        <f t="shared" si="187"/>
        <v>19</v>
      </c>
      <c r="F1568" s="4" t="str">
        <f>"17"</f>
        <v>17</v>
      </c>
      <c r="G1568" s="4" t="s">
        <v>12</v>
      </c>
      <c r="H1568" s="5">
        <v>0</v>
      </c>
      <c r="I1568" s="6" t="s">
        <v>13</v>
      </c>
      <c r="J1568" s="4">
        <f>SUMPRODUCT(--((A1568=$A$3:$A$2785)*$H$3:$H$2785&gt;H1568))+1</f>
        <v>268</v>
      </c>
    </row>
    <row r="1569" s="1" customFormat="true" customHeight="true" spans="1:10">
      <c r="A1569" s="4" t="str">
        <f t="shared" si="185"/>
        <v>021</v>
      </c>
      <c r="B1569" s="4" t="s">
        <v>33</v>
      </c>
      <c r="C1569" s="4" t="str">
        <f>"虞思洋"</f>
        <v>虞思洋</v>
      </c>
      <c r="D1569" s="4" t="str">
        <f>"2021011918"</f>
        <v>2021011918</v>
      </c>
      <c r="E1569" s="4" t="str">
        <f t="shared" si="187"/>
        <v>19</v>
      </c>
      <c r="F1569" s="4" t="str">
        <f>"18"</f>
        <v>18</v>
      </c>
      <c r="G1569" s="4" t="s">
        <v>12</v>
      </c>
      <c r="H1569" s="5">
        <v>0</v>
      </c>
      <c r="I1569" s="6" t="s">
        <v>13</v>
      </c>
      <c r="J1569" s="4">
        <f>SUMPRODUCT(--((A1569=$A$3:$A$2785)*$H$3:$H$2785&gt;H1569))+1</f>
        <v>268</v>
      </c>
    </row>
    <row r="1570" s="1" customFormat="true" customHeight="true" spans="1:10">
      <c r="A1570" s="4" t="str">
        <f t="shared" si="185"/>
        <v>021</v>
      </c>
      <c r="B1570" s="4" t="s">
        <v>33</v>
      </c>
      <c r="C1570" s="4" t="str">
        <f>"罗妮娅"</f>
        <v>罗妮娅</v>
      </c>
      <c r="D1570" s="4" t="str">
        <f>"2021011920"</f>
        <v>2021011920</v>
      </c>
      <c r="E1570" s="4" t="str">
        <f t="shared" si="187"/>
        <v>19</v>
      </c>
      <c r="F1570" s="4" t="str">
        <f>"20"</f>
        <v>20</v>
      </c>
      <c r="G1570" s="4" t="s">
        <v>12</v>
      </c>
      <c r="H1570" s="5">
        <v>0</v>
      </c>
      <c r="I1570" s="6" t="s">
        <v>13</v>
      </c>
      <c r="J1570" s="4">
        <f>SUMPRODUCT(--((A1570=$A$3:$A$2785)*$H$3:$H$2785&gt;H1570))+1</f>
        <v>268</v>
      </c>
    </row>
    <row r="1571" s="1" customFormat="true" customHeight="true" spans="1:10">
      <c r="A1571" s="4" t="str">
        <f t="shared" si="185"/>
        <v>021</v>
      </c>
      <c r="B1571" s="4" t="s">
        <v>33</v>
      </c>
      <c r="C1571" s="4" t="str">
        <f>"舒苓芝"</f>
        <v>舒苓芝</v>
      </c>
      <c r="D1571" s="4" t="str">
        <f>"2021011921"</f>
        <v>2021011921</v>
      </c>
      <c r="E1571" s="4" t="str">
        <f t="shared" si="187"/>
        <v>19</v>
      </c>
      <c r="F1571" s="4" t="str">
        <f>"21"</f>
        <v>21</v>
      </c>
      <c r="G1571" s="4" t="s">
        <v>12</v>
      </c>
      <c r="H1571" s="5">
        <v>0</v>
      </c>
      <c r="I1571" s="6" t="s">
        <v>13</v>
      </c>
      <c r="J1571" s="4">
        <f>SUMPRODUCT(--((A1571=$A$3:$A$2785)*$H$3:$H$2785&gt;H1571))+1</f>
        <v>268</v>
      </c>
    </row>
    <row r="1572" s="1" customFormat="true" customHeight="true" spans="1:10">
      <c r="A1572" s="4" t="str">
        <f t="shared" si="185"/>
        <v>021</v>
      </c>
      <c r="B1572" s="4" t="s">
        <v>33</v>
      </c>
      <c r="C1572" s="4" t="str">
        <f>"张思思"</f>
        <v>张思思</v>
      </c>
      <c r="D1572" s="4" t="str">
        <f>"2021011922"</f>
        <v>2021011922</v>
      </c>
      <c r="E1572" s="4" t="str">
        <f t="shared" si="187"/>
        <v>19</v>
      </c>
      <c r="F1572" s="4" t="str">
        <f>"22"</f>
        <v>22</v>
      </c>
      <c r="G1572" s="4" t="s">
        <v>12</v>
      </c>
      <c r="H1572" s="5">
        <v>0</v>
      </c>
      <c r="I1572" s="6" t="s">
        <v>13</v>
      </c>
      <c r="J1572" s="4">
        <f>SUMPRODUCT(--((A1572=$A$3:$A$2785)*$H$3:$H$2785&gt;H1572))+1</f>
        <v>268</v>
      </c>
    </row>
    <row r="1573" s="1" customFormat="true" customHeight="true" spans="1:10">
      <c r="A1573" s="4" t="str">
        <f t="shared" si="185"/>
        <v>021</v>
      </c>
      <c r="B1573" s="4" t="s">
        <v>33</v>
      </c>
      <c r="C1573" s="4" t="str">
        <f>"吴梦涵"</f>
        <v>吴梦涵</v>
      </c>
      <c r="D1573" s="4" t="str">
        <f>"2021011925"</f>
        <v>2021011925</v>
      </c>
      <c r="E1573" s="4" t="str">
        <f t="shared" si="187"/>
        <v>19</v>
      </c>
      <c r="F1573" s="4" t="str">
        <f>"25"</f>
        <v>25</v>
      </c>
      <c r="G1573" s="4" t="s">
        <v>12</v>
      </c>
      <c r="H1573" s="5">
        <v>0</v>
      </c>
      <c r="I1573" s="6" t="s">
        <v>13</v>
      </c>
      <c r="J1573" s="4">
        <f>SUMPRODUCT(--((A1573=$A$3:$A$2785)*$H$3:$H$2785&gt;H1573))+1</f>
        <v>268</v>
      </c>
    </row>
    <row r="1574" s="1" customFormat="true" customHeight="true" spans="1:10">
      <c r="A1574" s="4" t="str">
        <f t="shared" si="185"/>
        <v>021</v>
      </c>
      <c r="B1574" s="4" t="s">
        <v>33</v>
      </c>
      <c r="C1574" s="4" t="str">
        <f>"杨向英"</f>
        <v>杨向英</v>
      </c>
      <c r="D1574" s="4" t="str">
        <f>"2021011929"</f>
        <v>2021011929</v>
      </c>
      <c r="E1574" s="4" t="str">
        <f t="shared" si="187"/>
        <v>19</v>
      </c>
      <c r="F1574" s="4" t="str">
        <f>"29"</f>
        <v>29</v>
      </c>
      <c r="G1574" s="4" t="s">
        <v>12</v>
      </c>
      <c r="H1574" s="5">
        <v>0</v>
      </c>
      <c r="I1574" s="6" t="s">
        <v>13</v>
      </c>
      <c r="J1574" s="4">
        <f>SUMPRODUCT(--((A1574=$A$3:$A$2785)*$H$3:$H$2785&gt;H1574))+1</f>
        <v>268</v>
      </c>
    </row>
    <row r="1575" s="1" customFormat="true" customHeight="true" spans="1:10">
      <c r="A1575" s="4" t="str">
        <f t="shared" si="185"/>
        <v>021</v>
      </c>
      <c r="B1575" s="4" t="s">
        <v>33</v>
      </c>
      <c r="C1575" s="4" t="str">
        <f>"杨雪"</f>
        <v>杨雪</v>
      </c>
      <c r="D1575" s="4" t="str">
        <f>"2021011930"</f>
        <v>2021011930</v>
      </c>
      <c r="E1575" s="4" t="str">
        <f t="shared" si="187"/>
        <v>19</v>
      </c>
      <c r="F1575" s="4" t="str">
        <f>"30"</f>
        <v>30</v>
      </c>
      <c r="G1575" s="4" t="s">
        <v>12</v>
      </c>
      <c r="H1575" s="5">
        <v>0</v>
      </c>
      <c r="I1575" s="6" t="s">
        <v>13</v>
      </c>
      <c r="J1575" s="4">
        <f>SUMPRODUCT(--((A1575=$A$3:$A$2785)*$H$3:$H$2785&gt;H1575))+1</f>
        <v>268</v>
      </c>
    </row>
    <row r="1576" s="1" customFormat="true" customHeight="true" spans="1:10">
      <c r="A1576" s="4" t="str">
        <f t="shared" si="185"/>
        <v>021</v>
      </c>
      <c r="B1576" s="4" t="s">
        <v>33</v>
      </c>
      <c r="C1576" s="4" t="str">
        <f>"欧慧玲"</f>
        <v>欧慧玲</v>
      </c>
      <c r="D1576" s="4" t="str">
        <f>"2021012001"</f>
        <v>2021012001</v>
      </c>
      <c r="E1576" s="4" t="str">
        <f t="shared" ref="E1576:E1592" si="188">"20"</f>
        <v>20</v>
      </c>
      <c r="F1576" s="4" t="str">
        <f>"01"</f>
        <v>01</v>
      </c>
      <c r="G1576" s="4" t="s">
        <v>12</v>
      </c>
      <c r="H1576" s="5">
        <v>0</v>
      </c>
      <c r="I1576" s="6" t="s">
        <v>13</v>
      </c>
      <c r="J1576" s="4">
        <f>SUMPRODUCT(--((A1576=$A$3:$A$2785)*$H$3:$H$2785&gt;H1576))+1</f>
        <v>268</v>
      </c>
    </row>
    <row r="1577" s="1" customFormat="true" customHeight="true" spans="1:10">
      <c r="A1577" s="4" t="str">
        <f t="shared" si="185"/>
        <v>021</v>
      </c>
      <c r="B1577" s="4" t="s">
        <v>33</v>
      </c>
      <c r="C1577" s="4" t="str">
        <f>"姚萍"</f>
        <v>姚萍</v>
      </c>
      <c r="D1577" s="4" t="str">
        <f>"2021012004"</f>
        <v>2021012004</v>
      </c>
      <c r="E1577" s="4" t="str">
        <f t="shared" si="188"/>
        <v>20</v>
      </c>
      <c r="F1577" s="4" t="str">
        <f>"04"</f>
        <v>04</v>
      </c>
      <c r="G1577" s="4" t="s">
        <v>12</v>
      </c>
      <c r="H1577" s="5">
        <v>0</v>
      </c>
      <c r="I1577" s="6" t="s">
        <v>13</v>
      </c>
      <c r="J1577" s="4">
        <f>SUMPRODUCT(--((A1577=$A$3:$A$2785)*$H$3:$H$2785&gt;H1577))+1</f>
        <v>268</v>
      </c>
    </row>
    <row r="1578" s="1" customFormat="true" customHeight="true" spans="1:10">
      <c r="A1578" s="4" t="str">
        <f t="shared" si="185"/>
        <v>021</v>
      </c>
      <c r="B1578" s="4" t="s">
        <v>33</v>
      </c>
      <c r="C1578" s="4" t="str">
        <f>"阳取平"</f>
        <v>阳取平</v>
      </c>
      <c r="D1578" s="4" t="str">
        <f>"2021012005"</f>
        <v>2021012005</v>
      </c>
      <c r="E1578" s="4" t="str">
        <f t="shared" si="188"/>
        <v>20</v>
      </c>
      <c r="F1578" s="4" t="str">
        <f>"05"</f>
        <v>05</v>
      </c>
      <c r="G1578" s="4" t="s">
        <v>12</v>
      </c>
      <c r="H1578" s="5">
        <v>0</v>
      </c>
      <c r="I1578" s="6" t="s">
        <v>13</v>
      </c>
      <c r="J1578" s="4">
        <f>SUMPRODUCT(--((A1578=$A$3:$A$2785)*$H$3:$H$2785&gt;H1578))+1</f>
        <v>268</v>
      </c>
    </row>
    <row r="1579" s="1" customFormat="true" customHeight="true" spans="1:10">
      <c r="A1579" s="4" t="str">
        <f t="shared" si="185"/>
        <v>021</v>
      </c>
      <c r="B1579" s="4" t="s">
        <v>33</v>
      </c>
      <c r="C1579" s="4" t="str">
        <f>"朱晴妮"</f>
        <v>朱晴妮</v>
      </c>
      <c r="D1579" s="4" t="str">
        <f>"2021012006"</f>
        <v>2021012006</v>
      </c>
      <c r="E1579" s="4" t="str">
        <f t="shared" si="188"/>
        <v>20</v>
      </c>
      <c r="F1579" s="4" t="str">
        <f>"06"</f>
        <v>06</v>
      </c>
      <c r="G1579" s="4" t="s">
        <v>12</v>
      </c>
      <c r="H1579" s="5">
        <v>0</v>
      </c>
      <c r="I1579" s="6" t="s">
        <v>13</v>
      </c>
      <c r="J1579" s="4">
        <f>SUMPRODUCT(--((A1579=$A$3:$A$2785)*$H$3:$H$2785&gt;H1579))+1</f>
        <v>268</v>
      </c>
    </row>
    <row r="1580" s="1" customFormat="true" customHeight="true" spans="1:10">
      <c r="A1580" s="4" t="str">
        <f t="shared" si="185"/>
        <v>021</v>
      </c>
      <c r="B1580" s="4" t="s">
        <v>33</v>
      </c>
      <c r="C1580" s="4" t="str">
        <f>"谭雪晨"</f>
        <v>谭雪晨</v>
      </c>
      <c r="D1580" s="4" t="str">
        <f>"2021012008"</f>
        <v>2021012008</v>
      </c>
      <c r="E1580" s="4" t="str">
        <f t="shared" si="188"/>
        <v>20</v>
      </c>
      <c r="F1580" s="4" t="str">
        <f>"08"</f>
        <v>08</v>
      </c>
      <c r="G1580" s="4" t="s">
        <v>12</v>
      </c>
      <c r="H1580" s="5">
        <v>0</v>
      </c>
      <c r="I1580" s="6" t="s">
        <v>13</v>
      </c>
      <c r="J1580" s="4">
        <f>SUMPRODUCT(--((A1580=$A$3:$A$2785)*$H$3:$H$2785&gt;H1580))+1</f>
        <v>268</v>
      </c>
    </row>
    <row r="1581" s="1" customFormat="true" customHeight="true" spans="1:10">
      <c r="A1581" s="4" t="str">
        <f t="shared" si="185"/>
        <v>021</v>
      </c>
      <c r="B1581" s="4" t="s">
        <v>33</v>
      </c>
      <c r="C1581" s="4" t="str">
        <f>"于芬"</f>
        <v>于芬</v>
      </c>
      <c r="D1581" s="4" t="str">
        <f>"2021012012"</f>
        <v>2021012012</v>
      </c>
      <c r="E1581" s="4" t="str">
        <f t="shared" si="188"/>
        <v>20</v>
      </c>
      <c r="F1581" s="4" t="str">
        <f>"12"</f>
        <v>12</v>
      </c>
      <c r="G1581" s="4" t="s">
        <v>12</v>
      </c>
      <c r="H1581" s="5">
        <v>0</v>
      </c>
      <c r="I1581" s="6" t="s">
        <v>13</v>
      </c>
      <c r="J1581" s="4">
        <f>SUMPRODUCT(--((A1581=$A$3:$A$2785)*$H$3:$H$2785&gt;H1581))+1</f>
        <v>268</v>
      </c>
    </row>
    <row r="1582" s="1" customFormat="true" customHeight="true" spans="1:10">
      <c r="A1582" s="4" t="str">
        <f t="shared" si="185"/>
        <v>021</v>
      </c>
      <c r="B1582" s="4" t="s">
        <v>33</v>
      </c>
      <c r="C1582" s="4" t="str">
        <f>"蒋嘉"</f>
        <v>蒋嘉</v>
      </c>
      <c r="D1582" s="4" t="str">
        <f>"2021012013"</f>
        <v>2021012013</v>
      </c>
      <c r="E1582" s="4" t="str">
        <f t="shared" si="188"/>
        <v>20</v>
      </c>
      <c r="F1582" s="4" t="str">
        <f>"13"</f>
        <v>13</v>
      </c>
      <c r="G1582" s="4" t="s">
        <v>12</v>
      </c>
      <c r="H1582" s="5">
        <v>0</v>
      </c>
      <c r="I1582" s="6" t="s">
        <v>13</v>
      </c>
      <c r="J1582" s="4">
        <f>SUMPRODUCT(--((A1582=$A$3:$A$2785)*$H$3:$H$2785&gt;H1582))+1</f>
        <v>268</v>
      </c>
    </row>
    <row r="1583" s="1" customFormat="true" customHeight="true" spans="1:10">
      <c r="A1583" s="4" t="str">
        <f t="shared" si="185"/>
        <v>021</v>
      </c>
      <c r="B1583" s="4" t="s">
        <v>33</v>
      </c>
      <c r="C1583" s="4" t="str">
        <f>"潘婕"</f>
        <v>潘婕</v>
      </c>
      <c r="D1583" s="4" t="str">
        <f>"2021012016"</f>
        <v>2021012016</v>
      </c>
      <c r="E1583" s="4" t="str">
        <f t="shared" si="188"/>
        <v>20</v>
      </c>
      <c r="F1583" s="4" t="str">
        <f>"16"</f>
        <v>16</v>
      </c>
      <c r="G1583" s="4" t="s">
        <v>12</v>
      </c>
      <c r="H1583" s="5">
        <v>0</v>
      </c>
      <c r="I1583" s="6" t="s">
        <v>13</v>
      </c>
      <c r="J1583" s="4">
        <f>SUMPRODUCT(--((A1583=$A$3:$A$2785)*$H$3:$H$2785&gt;H1583))+1</f>
        <v>268</v>
      </c>
    </row>
    <row r="1584" s="1" customFormat="true" customHeight="true" spans="1:10">
      <c r="A1584" s="4" t="str">
        <f t="shared" si="185"/>
        <v>021</v>
      </c>
      <c r="B1584" s="4" t="s">
        <v>33</v>
      </c>
      <c r="C1584" s="4" t="str">
        <f>"张小英"</f>
        <v>张小英</v>
      </c>
      <c r="D1584" s="4" t="str">
        <f>"2021012017"</f>
        <v>2021012017</v>
      </c>
      <c r="E1584" s="4" t="str">
        <f t="shared" si="188"/>
        <v>20</v>
      </c>
      <c r="F1584" s="4" t="str">
        <f>"17"</f>
        <v>17</v>
      </c>
      <c r="G1584" s="4" t="s">
        <v>12</v>
      </c>
      <c r="H1584" s="5">
        <v>0</v>
      </c>
      <c r="I1584" s="6" t="s">
        <v>13</v>
      </c>
      <c r="J1584" s="4">
        <f>SUMPRODUCT(--((A1584=$A$3:$A$2785)*$H$3:$H$2785&gt;H1584))+1</f>
        <v>268</v>
      </c>
    </row>
    <row r="1585" s="1" customFormat="true" customHeight="true" spans="1:10">
      <c r="A1585" s="4" t="str">
        <f t="shared" si="185"/>
        <v>021</v>
      </c>
      <c r="B1585" s="4" t="s">
        <v>33</v>
      </c>
      <c r="C1585" s="4" t="str">
        <f>"宋秋莲"</f>
        <v>宋秋莲</v>
      </c>
      <c r="D1585" s="4" t="str">
        <f>"2021012018"</f>
        <v>2021012018</v>
      </c>
      <c r="E1585" s="4" t="str">
        <f t="shared" si="188"/>
        <v>20</v>
      </c>
      <c r="F1585" s="4" t="str">
        <f>"18"</f>
        <v>18</v>
      </c>
      <c r="G1585" s="4" t="s">
        <v>12</v>
      </c>
      <c r="H1585" s="5">
        <v>0</v>
      </c>
      <c r="I1585" s="6" t="s">
        <v>13</v>
      </c>
      <c r="J1585" s="4">
        <f>SUMPRODUCT(--((A1585=$A$3:$A$2785)*$H$3:$H$2785&gt;H1585))+1</f>
        <v>268</v>
      </c>
    </row>
    <row r="1586" s="1" customFormat="true" customHeight="true" spans="1:10">
      <c r="A1586" s="4" t="str">
        <f t="shared" si="185"/>
        <v>021</v>
      </c>
      <c r="B1586" s="4" t="s">
        <v>33</v>
      </c>
      <c r="C1586" s="4" t="str">
        <f>"胡倩倩"</f>
        <v>胡倩倩</v>
      </c>
      <c r="D1586" s="4" t="str">
        <f>"2021012020"</f>
        <v>2021012020</v>
      </c>
      <c r="E1586" s="4" t="str">
        <f t="shared" si="188"/>
        <v>20</v>
      </c>
      <c r="F1586" s="4" t="str">
        <f>"20"</f>
        <v>20</v>
      </c>
      <c r="G1586" s="4" t="s">
        <v>12</v>
      </c>
      <c r="H1586" s="5">
        <v>0</v>
      </c>
      <c r="I1586" s="6" t="s">
        <v>13</v>
      </c>
      <c r="J1586" s="4">
        <f>SUMPRODUCT(--((A1586=$A$3:$A$2785)*$H$3:$H$2785&gt;H1586))+1</f>
        <v>268</v>
      </c>
    </row>
    <row r="1587" s="1" customFormat="true" customHeight="true" spans="1:10">
      <c r="A1587" s="4" t="str">
        <f t="shared" si="185"/>
        <v>021</v>
      </c>
      <c r="B1587" s="4" t="s">
        <v>33</v>
      </c>
      <c r="C1587" s="4" t="str">
        <f>"彭曦"</f>
        <v>彭曦</v>
      </c>
      <c r="D1587" s="4" t="str">
        <f>"2021012021"</f>
        <v>2021012021</v>
      </c>
      <c r="E1587" s="4" t="str">
        <f t="shared" si="188"/>
        <v>20</v>
      </c>
      <c r="F1587" s="4" t="str">
        <f>"21"</f>
        <v>21</v>
      </c>
      <c r="G1587" s="4" t="s">
        <v>12</v>
      </c>
      <c r="H1587" s="5">
        <v>0</v>
      </c>
      <c r="I1587" s="6" t="s">
        <v>13</v>
      </c>
      <c r="J1587" s="4">
        <f>SUMPRODUCT(--((A1587=$A$3:$A$2785)*$H$3:$H$2785&gt;H1587))+1</f>
        <v>268</v>
      </c>
    </row>
    <row r="1588" s="1" customFormat="true" customHeight="true" spans="1:10">
      <c r="A1588" s="4" t="str">
        <f t="shared" si="185"/>
        <v>021</v>
      </c>
      <c r="B1588" s="4" t="s">
        <v>33</v>
      </c>
      <c r="C1588" s="4" t="str">
        <f>"姚婷"</f>
        <v>姚婷</v>
      </c>
      <c r="D1588" s="4" t="str">
        <f>"2021012022"</f>
        <v>2021012022</v>
      </c>
      <c r="E1588" s="4" t="str">
        <f t="shared" si="188"/>
        <v>20</v>
      </c>
      <c r="F1588" s="4" t="str">
        <f>"22"</f>
        <v>22</v>
      </c>
      <c r="G1588" s="4" t="s">
        <v>12</v>
      </c>
      <c r="H1588" s="5">
        <v>0</v>
      </c>
      <c r="I1588" s="6" t="s">
        <v>13</v>
      </c>
      <c r="J1588" s="4">
        <f>SUMPRODUCT(--((A1588=$A$3:$A$2785)*$H$3:$H$2785&gt;H1588))+1</f>
        <v>268</v>
      </c>
    </row>
    <row r="1589" s="1" customFormat="true" customHeight="true" spans="1:10">
      <c r="A1589" s="4" t="str">
        <f t="shared" si="185"/>
        <v>021</v>
      </c>
      <c r="B1589" s="4" t="s">
        <v>33</v>
      </c>
      <c r="C1589" s="4" t="str">
        <f>"马哲琦"</f>
        <v>马哲琦</v>
      </c>
      <c r="D1589" s="4" t="str">
        <f>"2021012023"</f>
        <v>2021012023</v>
      </c>
      <c r="E1589" s="4" t="str">
        <f t="shared" si="188"/>
        <v>20</v>
      </c>
      <c r="F1589" s="4" t="str">
        <f>"23"</f>
        <v>23</v>
      </c>
      <c r="G1589" s="4" t="s">
        <v>12</v>
      </c>
      <c r="H1589" s="5">
        <v>0</v>
      </c>
      <c r="I1589" s="6" t="s">
        <v>13</v>
      </c>
      <c r="J1589" s="4">
        <f>SUMPRODUCT(--((A1589=$A$3:$A$2785)*$H$3:$H$2785&gt;H1589))+1</f>
        <v>268</v>
      </c>
    </row>
    <row r="1590" s="1" customFormat="true" customHeight="true" spans="1:10">
      <c r="A1590" s="4" t="str">
        <f t="shared" si="185"/>
        <v>021</v>
      </c>
      <c r="B1590" s="4" t="s">
        <v>33</v>
      </c>
      <c r="C1590" s="4" t="str">
        <f>"邓颖珍"</f>
        <v>邓颖珍</v>
      </c>
      <c r="D1590" s="4" t="str">
        <f>"2021012024"</f>
        <v>2021012024</v>
      </c>
      <c r="E1590" s="4" t="str">
        <f t="shared" si="188"/>
        <v>20</v>
      </c>
      <c r="F1590" s="4" t="str">
        <f>"24"</f>
        <v>24</v>
      </c>
      <c r="G1590" s="4" t="s">
        <v>12</v>
      </c>
      <c r="H1590" s="5">
        <v>0</v>
      </c>
      <c r="I1590" s="6" t="s">
        <v>13</v>
      </c>
      <c r="J1590" s="4">
        <f>SUMPRODUCT(--((A1590=$A$3:$A$2785)*$H$3:$H$2785&gt;H1590))+1</f>
        <v>268</v>
      </c>
    </row>
    <row r="1591" s="1" customFormat="true" customHeight="true" spans="1:10">
      <c r="A1591" s="4" t="str">
        <f t="shared" si="185"/>
        <v>021</v>
      </c>
      <c r="B1591" s="4" t="s">
        <v>33</v>
      </c>
      <c r="C1591" s="4" t="str">
        <f>"周红庆"</f>
        <v>周红庆</v>
      </c>
      <c r="D1591" s="4" t="str">
        <f>"2021012026"</f>
        <v>2021012026</v>
      </c>
      <c r="E1591" s="4" t="str">
        <f t="shared" si="188"/>
        <v>20</v>
      </c>
      <c r="F1591" s="4" t="str">
        <f>"26"</f>
        <v>26</v>
      </c>
      <c r="G1591" s="4" t="s">
        <v>12</v>
      </c>
      <c r="H1591" s="5">
        <v>0</v>
      </c>
      <c r="I1591" s="6" t="s">
        <v>13</v>
      </c>
      <c r="J1591" s="4">
        <f>SUMPRODUCT(--((A1591=$A$3:$A$2785)*$H$3:$H$2785&gt;H1591))+1</f>
        <v>268</v>
      </c>
    </row>
    <row r="1592" s="1" customFormat="true" customHeight="true" spans="1:10">
      <c r="A1592" s="4" t="str">
        <f t="shared" ref="A1592:A1622" si="189">"021"</f>
        <v>021</v>
      </c>
      <c r="B1592" s="4" t="s">
        <v>33</v>
      </c>
      <c r="C1592" s="4" t="str">
        <f>"丁春露"</f>
        <v>丁春露</v>
      </c>
      <c r="D1592" s="4" t="str">
        <f>"2021012029"</f>
        <v>2021012029</v>
      </c>
      <c r="E1592" s="4" t="str">
        <f t="shared" si="188"/>
        <v>20</v>
      </c>
      <c r="F1592" s="4" t="str">
        <f>"29"</f>
        <v>29</v>
      </c>
      <c r="G1592" s="4" t="s">
        <v>12</v>
      </c>
      <c r="H1592" s="5">
        <v>0</v>
      </c>
      <c r="I1592" s="6" t="s">
        <v>13</v>
      </c>
      <c r="J1592" s="4">
        <f>SUMPRODUCT(--((A1592=$A$3:$A$2785)*$H$3:$H$2785&gt;H1592))+1</f>
        <v>268</v>
      </c>
    </row>
    <row r="1593" s="1" customFormat="true" customHeight="true" spans="1:10">
      <c r="A1593" s="4" t="str">
        <f t="shared" si="189"/>
        <v>021</v>
      </c>
      <c r="B1593" s="4" t="s">
        <v>33</v>
      </c>
      <c r="C1593" s="4" t="str">
        <f>"李序蓉"</f>
        <v>李序蓉</v>
      </c>
      <c r="D1593" s="4" t="str">
        <f>"2021012104"</f>
        <v>2021012104</v>
      </c>
      <c r="E1593" s="4" t="str">
        <f t="shared" ref="E1593:E1606" si="190">"21"</f>
        <v>21</v>
      </c>
      <c r="F1593" s="4" t="str">
        <f>"04"</f>
        <v>04</v>
      </c>
      <c r="G1593" s="4" t="s">
        <v>12</v>
      </c>
      <c r="H1593" s="5">
        <v>0</v>
      </c>
      <c r="I1593" s="6" t="s">
        <v>13</v>
      </c>
      <c r="J1593" s="4">
        <f>SUMPRODUCT(--((A1593=$A$3:$A$2785)*$H$3:$H$2785&gt;H1593))+1</f>
        <v>268</v>
      </c>
    </row>
    <row r="1594" s="1" customFormat="true" customHeight="true" spans="1:10">
      <c r="A1594" s="4" t="str">
        <f t="shared" si="189"/>
        <v>021</v>
      </c>
      <c r="B1594" s="4" t="s">
        <v>33</v>
      </c>
      <c r="C1594" s="4" t="str">
        <f>"李婷"</f>
        <v>李婷</v>
      </c>
      <c r="D1594" s="4" t="str">
        <f>"2021012105"</f>
        <v>2021012105</v>
      </c>
      <c r="E1594" s="4" t="str">
        <f t="shared" si="190"/>
        <v>21</v>
      </c>
      <c r="F1594" s="4" t="str">
        <f>"05"</f>
        <v>05</v>
      </c>
      <c r="G1594" s="4" t="s">
        <v>12</v>
      </c>
      <c r="H1594" s="5">
        <v>0</v>
      </c>
      <c r="I1594" s="6" t="s">
        <v>13</v>
      </c>
      <c r="J1594" s="4">
        <f>SUMPRODUCT(--((A1594=$A$3:$A$2785)*$H$3:$H$2785&gt;H1594))+1</f>
        <v>268</v>
      </c>
    </row>
    <row r="1595" s="1" customFormat="true" customHeight="true" spans="1:10">
      <c r="A1595" s="4" t="str">
        <f t="shared" si="189"/>
        <v>021</v>
      </c>
      <c r="B1595" s="4" t="s">
        <v>33</v>
      </c>
      <c r="C1595" s="4" t="str">
        <f>"刘文齐"</f>
        <v>刘文齐</v>
      </c>
      <c r="D1595" s="4" t="str">
        <f>"2021012107"</f>
        <v>2021012107</v>
      </c>
      <c r="E1595" s="4" t="str">
        <f t="shared" si="190"/>
        <v>21</v>
      </c>
      <c r="F1595" s="4" t="str">
        <f>"07"</f>
        <v>07</v>
      </c>
      <c r="G1595" s="4" t="s">
        <v>12</v>
      </c>
      <c r="H1595" s="5">
        <v>0</v>
      </c>
      <c r="I1595" s="6" t="s">
        <v>13</v>
      </c>
      <c r="J1595" s="4">
        <f>SUMPRODUCT(--((A1595=$A$3:$A$2785)*$H$3:$H$2785&gt;H1595))+1</f>
        <v>268</v>
      </c>
    </row>
    <row r="1596" s="1" customFormat="true" customHeight="true" spans="1:10">
      <c r="A1596" s="4" t="str">
        <f t="shared" si="189"/>
        <v>021</v>
      </c>
      <c r="B1596" s="4" t="s">
        <v>33</v>
      </c>
      <c r="C1596" s="4" t="str">
        <f>"肖宇君"</f>
        <v>肖宇君</v>
      </c>
      <c r="D1596" s="4" t="str">
        <f>"2021012108"</f>
        <v>2021012108</v>
      </c>
      <c r="E1596" s="4" t="str">
        <f t="shared" si="190"/>
        <v>21</v>
      </c>
      <c r="F1596" s="4" t="str">
        <f>"08"</f>
        <v>08</v>
      </c>
      <c r="G1596" s="4" t="s">
        <v>12</v>
      </c>
      <c r="H1596" s="5">
        <v>0</v>
      </c>
      <c r="I1596" s="6" t="s">
        <v>13</v>
      </c>
      <c r="J1596" s="4">
        <f>SUMPRODUCT(--((A1596=$A$3:$A$2785)*$H$3:$H$2785&gt;H1596))+1</f>
        <v>268</v>
      </c>
    </row>
    <row r="1597" s="1" customFormat="true" customHeight="true" spans="1:10">
      <c r="A1597" s="4" t="str">
        <f t="shared" si="189"/>
        <v>021</v>
      </c>
      <c r="B1597" s="4" t="s">
        <v>33</v>
      </c>
      <c r="C1597" s="4" t="str">
        <f>"谢连玉"</f>
        <v>谢连玉</v>
      </c>
      <c r="D1597" s="4" t="str">
        <f>"2021012110"</f>
        <v>2021012110</v>
      </c>
      <c r="E1597" s="4" t="str">
        <f t="shared" si="190"/>
        <v>21</v>
      </c>
      <c r="F1597" s="4" t="str">
        <f>"10"</f>
        <v>10</v>
      </c>
      <c r="G1597" s="4" t="s">
        <v>12</v>
      </c>
      <c r="H1597" s="5">
        <v>0</v>
      </c>
      <c r="I1597" s="6" t="s">
        <v>13</v>
      </c>
      <c r="J1597" s="4">
        <f>SUMPRODUCT(--((A1597=$A$3:$A$2785)*$H$3:$H$2785&gt;H1597))+1</f>
        <v>268</v>
      </c>
    </row>
    <row r="1598" s="1" customFormat="true" customHeight="true" spans="1:10">
      <c r="A1598" s="4" t="str">
        <f t="shared" si="189"/>
        <v>021</v>
      </c>
      <c r="B1598" s="4" t="s">
        <v>33</v>
      </c>
      <c r="C1598" s="4" t="str">
        <f>"杨春燕"</f>
        <v>杨春燕</v>
      </c>
      <c r="D1598" s="4" t="str">
        <f>"2021012111"</f>
        <v>2021012111</v>
      </c>
      <c r="E1598" s="4" t="str">
        <f t="shared" si="190"/>
        <v>21</v>
      </c>
      <c r="F1598" s="4" t="str">
        <f>"11"</f>
        <v>11</v>
      </c>
      <c r="G1598" s="4" t="s">
        <v>12</v>
      </c>
      <c r="H1598" s="5">
        <v>0</v>
      </c>
      <c r="I1598" s="6" t="s">
        <v>13</v>
      </c>
      <c r="J1598" s="4">
        <f>SUMPRODUCT(--((A1598=$A$3:$A$2785)*$H$3:$H$2785&gt;H1598))+1</f>
        <v>268</v>
      </c>
    </row>
    <row r="1599" s="1" customFormat="true" customHeight="true" spans="1:10">
      <c r="A1599" s="4" t="str">
        <f t="shared" si="189"/>
        <v>021</v>
      </c>
      <c r="B1599" s="4" t="s">
        <v>33</v>
      </c>
      <c r="C1599" s="4" t="str">
        <f>"吴慧"</f>
        <v>吴慧</v>
      </c>
      <c r="D1599" s="4" t="str">
        <f>"2021012114"</f>
        <v>2021012114</v>
      </c>
      <c r="E1599" s="4" t="str">
        <f t="shared" si="190"/>
        <v>21</v>
      </c>
      <c r="F1599" s="4" t="str">
        <f>"14"</f>
        <v>14</v>
      </c>
      <c r="G1599" s="4" t="s">
        <v>12</v>
      </c>
      <c r="H1599" s="5">
        <v>0</v>
      </c>
      <c r="I1599" s="6" t="s">
        <v>13</v>
      </c>
      <c r="J1599" s="4">
        <f>SUMPRODUCT(--((A1599=$A$3:$A$2785)*$H$3:$H$2785&gt;H1599))+1</f>
        <v>268</v>
      </c>
    </row>
    <row r="1600" s="1" customFormat="true" customHeight="true" spans="1:10">
      <c r="A1600" s="4" t="str">
        <f t="shared" si="189"/>
        <v>021</v>
      </c>
      <c r="B1600" s="4" t="s">
        <v>33</v>
      </c>
      <c r="C1600" s="4" t="str">
        <f>"向小兰"</f>
        <v>向小兰</v>
      </c>
      <c r="D1600" s="4" t="str">
        <f>"2021012121"</f>
        <v>2021012121</v>
      </c>
      <c r="E1600" s="4" t="str">
        <f t="shared" si="190"/>
        <v>21</v>
      </c>
      <c r="F1600" s="4" t="str">
        <f>"21"</f>
        <v>21</v>
      </c>
      <c r="G1600" s="4" t="s">
        <v>12</v>
      </c>
      <c r="H1600" s="5">
        <v>0</v>
      </c>
      <c r="I1600" s="6" t="s">
        <v>13</v>
      </c>
      <c r="J1600" s="4">
        <f>SUMPRODUCT(--((A1600=$A$3:$A$2785)*$H$3:$H$2785&gt;H1600))+1</f>
        <v>268</v>
      </c>
    </row>
    <row r="1601" s="1" customFormat="true" customHeight="true" spans="1:10">
      <c r="A1601" s="4" t="str">
        <f t="shared" si="189"/>
        <v>021</v>
      </c>
      <c r="B1601" s="4" t="s">
        <v>33</v>
      </c>
      <c r="C1601" s="4" t="str">
        <f>"周雯倩"</f>
        <v>周雯倩</v>
      </c>
      <c r="D1601" s="4" t="str">
        <f>"2021012122"</f>
        <v>2021012122</v>
      </c>
      <c r="E1601" s="4" t="str">
        <f t="shared" si="190"/>
        <v>21</v>
      </c>
      <c r="F1601" s="4" t="str">
        <f>"22"</f>
        <v>22</v>
      </c>
      <c r="G1601" s="4" t="s">
        <v>12</v>
      </c>
      <c r="H1601" s="5">
        <v>0</v>
      </c>
      <c r="I1601" s="6" t="s">
        <v>13</v>
      </c>
      <c r="J1601" s="4">
        <f>SUMPRODUCT(--((A1601=$A$3:$A$2785)*$H$3:$H$2785&gt;H1601))+1</f>
        <v>268</v>
      </c>
    </row>
    <row r="1602" s="1" customFormat="true" customHeight="true" spans="1:10">
      <c r="A1602" s="4" t="str">
        <f t="shared" si="189"/>
        <v>021</v>
      </c>
      <c r="B1602" s="4" t="s">
        <v>33</v>
      </c>
      <c r="C1602" s="4" t="str">
        <f>"严婧嘉"</f>
        <v>严婧嘉</v>
      </c>
      <c r="D1602" s="4" t="str">
        <f>"2021012123"</f>
        <v>2021012123</v>
      </c>
      <c r="E1602" s="4" t="str">
        <f t="shared" si="190"/>
        <v>21</v>
      </c>
      <c r="F1602" s="4" t="str">
        <f>"23"</f>
        <v>23</v>
      </c>
      <c r="G1602" s="4" t="s">
        <v>12</v>
      </c>
      <c r="H1602" s="5">
        <v>0</v>
      </c>
      <c r="I1602" s="6" t="s">
        <v>13</v>
      </c>
      <c r="J1602" s="4">
        <f>SUMPRODUCT(--((A1602=$A$3:$A$2785)*$H$3:$H$2785&gt;H1602))+1</f>
        <v>268</v>
      </c>
    </row>
    <row r="1603" s="1" customFormat="true" customHeight="true" spans="1:10">
      <c r="A1603" s="4" t="str">
        <f t="shared" si="189"/>
        <v>021</v>
      </c>
      <c r="B1603" s="4" t="s">
        <v>33</v>
      </c>
      <c r="C1603" s="4" t="str">
        <f>"李玲"</f>
        <v>李玲</v>
      </c>
      <c r="D1603" s="4" t="str">
        <f>"2021012125"</f>
        <v>2021012125</v>
      </c>
      <c r="E1603" s="4" t="str">
        <f t="shared" si="190"/>
        <v>21</v>
      </c>
      <c r="F1603" s="4" t="str">
        <f>"25"</f>
        <v>25</v>
      </c>
      <c r="G1603" s="4" t="s">
        <v>12</v>
      </c>
      <c r="H1603" s="5">
        <v>0</v>
      </c>
      <c r="I1603" s="6" t="s">
        <v>13</v>
      </c>
      <c r="J1603" s="4">
        <f>SUMPRODUCT(--((A1603=$A$3:$A$2785)*$H$3:$H$2785&gt;H1603))+1</f>
        <v>268</v>
      </c>
    </row>
    <row r="1604" s="1" customFormat="true" customHeight="true" spans="1:10">
      <c r="A1604" s="4" t="str">
        <f t="shared" si="189"/>
        <v>021</v>
      </c>
      <c r="B1604" s="4" t="s">
        <v>33</v>
      </c>
      <c r="C1604" s="4" t="str">
        <f>"张戈"</f>
        <v>张戈</v>
      </c>
      <c r="D1604" s="4" t="str">
        <f>"2021012126"</f>
        <v>2021012126</v>
      </c>
      <c r="E1604" s="4" t="str">
        <f t="shared" si="190"/>
        <v>21</v>
      </c>
      <c r="F1604" s="4" t="str">
        <f>"26"</f>
        <v>26</v>
      </c>
      <c r="G1604" s="4" t="s">
        <v>12</v>
      </c>
      <c r="H1604" s="5">
        <v>0</v>
      </c>
      <c r="I1604" s="6" t="s">
        <v>13</v>
      </c>
      <c r="J1604" s="4">
        <f>SUMPRODUCT(--((A1604=$A$3:$A$2785)*$H$3:$H$2785&gt;H1604))+1</f>
        <v>268</v>
      </c>
    </row>
    <row r="1605" s="1" customFormat="true" customHeight="true" spans="1:10">
      <c r="A1605" s="4" t="str">
        <f t="shared" si="189"/>
        <v>021</v>
      </c>
      <c r="B1605" s="4" t="s">
        <v>33</v>
      </c>
      <c r="C1605" s="4" t="str">
        <f>"滕婉玲"</f>
        <v>滕婉玲</v>
      </c>
      <c r="D1605" s="4" t="str">
        <f>"2021012128"</f>
        <v>2021012128</v>
      </c>
      <c r="E1605" s="4" t="str">
        <f t="shared" si="190"/>
        <v>21</v>
      </c>
      <c r="F1605" s="4" t="str">
        <f>"28"</f>
        <v>28</v>
      </c>
      <c r="G1605" s="4" t="s">
        <v>12</v>
      </c>
      <c r="H1605" s="5">
        <v>0</v>
      </c>
      <c r="I1605" s="6" t="s">
        <v>13</v>
      </c>
      <c r="J1605" s="4">
        <f>SUMPRODUCT(--((A1605=$A$3:$A$2785)*$H$3:$H$2785&gt;H1605))+1</f>
        <v>268</v>
      </c>
    </row>
    <row r="1606" s="1" customFormat="true" customHeight="true" spans="1:10">
      <c r="A1606" s="4" t="str">
        <f t="shared" si="189"/>
        <v>021</v>
      </c>
      <c r="B1606" s="4" t="s">
        <v>33</v>
      </c>
      <c r="C1606" s="4" t="str">
        <f>"周芷安"</f>
        <v>周芷安</v>
      </c>
      <c r="D1606" s="4" t="str">
        <f>"2021012130"</f>
        <v>2021012130</v>
      </c>
      <c r="E1606" s="4" t="str">
        <f t="shared" si="190"/>
        <v>21</v>
      </c>
      <c r="F1606" s="4" t="str">
        <f>"30"</f>
        <v>30</v>
      </c>
      <c r="G1606" s="4" t="s">
        <v>12</v>
      </c>
      <c r="H1606" s="5">
        <v>0</v>
      </c>
      <c r="I1606" s="6" t="s">
        <v>13</v>
      </c>
      <c r="J1606" s="4">
        <f>SUMPRODUCT(--((A1606=$A$3:$A$2785)*$H$3:$H$2785&gt;H1606))+1</f>
        <v>268</v>
      </c>
    </row>
    <row r="1607" s="1" customFormat="true" customHeight="true" spans="1:10">
      <c r="A1607" s="4" t="str">
        <f t="shared" si="189"/>
        <v>021</v>
      </c>
      <c r="B1607" s="4" t="s">
        <v>33</v>
      </c>
      <c r="C1607" s="4" t="str">
        <f>"张兰宁"</f>
        <v>张兰宁</v>
      </c>
      <c r="D1607" s="4" t="str">
        <f>"2021012207"</f>
        <v>2021012207</v>
      </c>
      <c r="E1607" s="4" t="str">
        <f t="shared" ref="E1607:E1619" si="191">"22"</f>
        <v>22</v>
      </c>
      <c r="F1607" s="4" t="str">
        <f>"07"</f>
        <v>07</v>
      </c>
      <c r="G1607" s="4" t="s">
        <v>12</v>
      </c>
      <c r="H1607" s="5">
        <v>0</v>
      </c>
      <c r="I1607" s="6" t="s">
        <v>13</v>
      </c>
      <c r="J1607" s="4">
        <f>SUMPRODUCT(--((A1607=$A$3:$A$2785)*$H$3:$H$2785&gt;H1607))+1</f>
        <v>268</v>
      </c>
    </row>
    <row r="1608" s="1" customFormat="true" customHeight="true" spans="1:10">
      <c r="A1608" s="4" t="str">
        <f t="shared" si="189"/>
        <v>021</v>
      </c>
      <c r="B1608" s="4" t="s">
        <v>33</v>
      </c>
      <c r="C1608" s="4" t="str">
        <f>"杨澎锴"</f>
        <v>杨澎锴</v>
      </c>
      <c r="D1608" s="4" t="str">
        <f>"2021012208"</f>
        <v>2021012208</v>
      </c>
      <c r="E1608" s="4" t="str">
        <f t="shared" si="191"/>
        <v>22</v>
      </c>
      <c r="F1608" s="4" t="str">
        <f>"08"</f>
        <v>08</v>
      </c>
      <c r="G1608" s="4" t="s">
        <v>12</v>
      </c>
      <c r="H1608" s="5">
        <v>0</v>
      </c>
      <c r="I1608" s="6" t="s">
        <v>13</v>
      </c>
      <c r="J1608" s="4">
        <f>SUMPRODUCT(--((A1608=$A$3:$A$2785)*$H$3:$H$2785&gt;H1608))+1</f>
        <v>268</v>
      </c>
    </row>
    <row r="1609" s="1" customFormat="true" customHeight="true" spans="1:10">
      <c r="A1609" s="4" t="str">
        <f t="shared" si="189"/>
        <v>021</v>
      </c>
      <c r="B1609" s="4" t="s">
        <v>33</v>
      </c>
      <c r="C1609" s="4" t="str">
        <f>"张丹丹"</f>
        <v>张丹丹</v>
      </c>
      <c r="D1609" s="4" t="str">
        <f>"2021012209"</f>
        <v>2021012209</v>
      </c>
      <c r="E1609" s="4" t="str">
        <f t="shared" si="191"/>
        <v>22</v>
      </c>
      <c r="F1609" s="4" t="str">
        <f>"09"</f>
        <v>09</v>
      </c>
      <c r="G1609" s="4" t="s">
        <v>12</v>
      </c>
      <c r="H1609" s="5">
        <v>0</v>
      </c>
      <c r="I1609" s="6" t="s">
        <v>13</v>
      </c>
      <c r="J1609" s="4">
        <f>SUMPRODUCT(--((A1609=$A$3:$A$2785)*$H$3:$H$2785&gt;H1609))+1</f>
        <v>268</v>
      </c>
    </row>
    <row r="1610" s="1" customFormat="true" customHeight="true" spans="1:10">
      <c r="A1610" s="4" t="str">
        <f t="shared" si="189"/>
        <v>021</v>
      </c>
      <c r="B1610" s="4" t="s">
        <v>33</v>
      </c>
      <c r="C1610" s="4" t="str">
        <f>"李萍"</f>
        <v>李萍</v>
      </c>
      <c r="D1610" s="4" t="str">
        <f>"2021012211"</f>
        <v>2021012211</v>
      </c>
      <c r="E1610" s="4" t="str">
        <f t="shared" si="191"/>
        <v>22</v>
      </c>
      <c r="F1610" s="4" t="str">
        <f>"11"</f>
        <v>11</v>
      </c>
      <c r="G1610" s="4" t="s">
        <v>12</v>
      </c>
      <c r="H1610" s="5">
        <v>0</v>
      </c>
      <c r="I1610" s="6" t="s">
        <v>13</v>
      </c>
      <c r="J1610" s="4">
        <f>SUMPRODUCT(--((A1610=$A$3:$A$2785)*$H$3:$H$2785&gt;H1610))+1</f>
        <v>268</v>
      </c>
    </row>
    <row r="1611" s="1" customFormat="true" customHeight="true" spans="1:10">
      <c r="A1611" s="4" t="str">
        <f t="shared" si="189"/>
        <v>021</v>
      </c>
      <c r="B1611" s="4" t="s">
        <v>33</v>
      </c>
      <c r="C1611" s="4" t="str">
        <f>"张丹"</f>
        <v>张丹</v>
      </c>
      <c r="D1611" s="4" t="str">
        <f>"2021012213"</f>
        <v>2021012213</v>
      </c>
      <c r="E1611" s="4" t="str">
        <f t="shared" si="191"/>
        <v>22</v>
      </c>
      <c r="F1611" s="4" t="str">
        <f>"13"</f>
        <v>13</v>
      </c>
      <c r="G1611" s="4" t="s">
        <v>12</v>
      </c>
      <c r="H1611" s="5">
        <v>0</v>
      </c>
      <c r="I1611" s="6" t="s">
        <v>13</v>
      </c>
      <c r="J1611" s="4">
        <f>SUMPRODUCT(--((A1611=$A$3:$A$2785)*$H$3:$H$2785&gt;H1611))+1</f>
        <v>268</v>
      </c>
    </row>
    <row r="1612" s="1" customFormat="true" customHeight="true" spans="1:10">
      <c r="A1612" s="4" t="str">
        <f t="shared" si="189"/>
        <v>021</v>
      </c>
      <c r="B1612" s="4" t="s">
        <v>33</v>
      </c>
      <c r="C1612" s="4" t="str">
        <f>"施丽君"</f>
        <v>施丽君</v>
      </c>
      <c r="D1612" s="4" t="str">
        <f>"2021012214"</f>
        <v>2021012214</v>
      </c>
      <c r="E1612" s="4" t="str">
        <f t="shared" si="191"/>
        <v>22</v>
      </c>
      <c r="F1612" s="4" t="str">
        <f>"14"</f>
        <v>14</v>
      </c>
      <c r="G1612" s="4" t="s">
        <v>12</v>
      </c>
      <c r="H1612" s="5">
        <v>0</v>
      </c>
      <c r="I1612" s="6" t="s">
        <v>13</v>
      </c>
      <c r="J1612" s="4">
        <f>SUMPRODUCT(--((A1612=$A$3:$A$2785)*$H$3:$H$2785&gt;H1612))+1</f>
        <v>268</v>
      </c>
    </row>
    <row r="1613" s="1" customFormat="true" customHeight="true" spans="1:10">
      <c r="A1613" s="4" t="str">
        <f t="shared" si="189"/>
        <v>021</v>
      </c>
      <c r="B1613" s="4" t="s">
        <v>33</v>
      </c>
      <c r="C1613" s="4" t="str">
        <f>"王茂君"</f>
        <v>王茂君</v>
      </c>
      <c r="D1613" s="4" t="str">
        <f>"2021012215"</f>
        <v>2021012215</v>
      </c>
      <c r="E1613" s="4" t="str">
        <f t="shared" si="191"/>
        <v>22</v>
      </c>
      <c r="F1613" s="4" t="str">
        <f>"15"</f>
        <v>15</v>
      </c>
      <c r="G1613" s="4" t="s">
        <v>12</v>
      </c>
      <c r="H1613" s="5">
        <v>0</v>
      </c>
      <c r="I1613" s="6" t="s">
        <v>13</v>
      </c>
      <c r="J1613" s="4">
        <f>SUMPRODUCT(--((A1613=$A$3:$A$2785)*$H$3:$H$2785&gt;H1613))+1</f>
        <v>268</v>
      </c>
    </row>
    <row r="1614" s="1" customFormat="true" customHeight="true" spans="1:10">
      <c r="A1614" s="4" t="str">
        <f t="shared" si="189"/>
        <v>021</v>
      </c>
      <c r="B1614" s="4" t="s">
        <v>33</v>
      </c>
      <c r="C1614" s="4" t="str">
        <f>"罗鸿瑶"</f>
        <v>罗鸿瑶</v>
      </c>
      <c r="D1614" s="4" t="str">
        <f>"2021012217"</f>
        <v>2021012217</v>
      </c>
      <c r="E1614" s="4" t="str">
        <f t="shared" si="191"/>
        <v>22</v>
      </c>
      <c r="F1614" s="4" t="str">
        <f>"17"</f>
        <v>17</v>
      </c>
      <c r="G1614" s="4" t="s">
        <v>12</v>
      </c>
      <c r="H1614" s="5">
        <v>0</v>
      </c>
      <c r="I1614" s="6" t="s">
        <v>13</v>
      </c>
      <c r="J1614" s="4">
        <f>SUMPRODUCT(--((A1614=$A$3:$A$2785)*$H$3:$H$2785&gt;H1614))+1</f>
        <v>268</v>
      </c>
    </row>
    <row r="1615" s="1" customFormat="true" customHeight="true" spans="1:10">
      <c r="A1615" s="4" t="str">
        <f t="shared" si="189"/>
        <v>021</v>
      </c>
      <c r="B1615" s="4" t="s">
        <v>33</v>
      </c>
      <c r="C1615" s="4" t="str">
        <f>"章雅献"</f>
        <v>章雅献</v>
      </c>
      <c r="D1615" s="4" t="str">
        <f>"2021012218"</f>
        <v>2021012218</v>
      </c>
      <c r="E1615" s="4" t="str">
        <f t="shared" si="191"/>
        <v>22</v>
      </c>
      <c r="F1615" s="4" t="str">
        <f>"18"</f>
        <v>18</v>
      </c>
      <c r="G1615" s="4" t="s">
        <v>12</v>
      </c>
      <c r="H1615" s="5">
        <v>0</v>
      </c>
      <c r="I1615" s="6" t="s">
        <v>13</v>
      </c>
      <c r="J1615" s="4">
        <f>SUMPRODUCT(--((A1615=$A$3:$A$2785)*$H$3:$H$2785&gt;H1615))+1</f>
        <v>268</v>
      </c>
    </row>
    <row r="1616" s="1" customFormat="true" customHeight="true" spans="1:10">
      <c r="A1616" s="4" t="str">
        <f t="shared" si="189"/>
        <v>021</v>
      </c>
      <c r="B1616" s="4" t="s">
        <v>33</v>
      </c>
      <c r="C1616" s="4" t="str">
        <f>"黄碧玉"</f>
        <v>黄碧玉</v>
      </c>
      <c r="D1616" s="4" t="str">
        <f>"2021012222"</f>
        <v>2021012222</v>
      </c>
      <c r="E1616" s="4" t="str">
        <f t="shared" si="191"/>
        <v>22</v>
      </c>
      <c r="F1616" s="4" t="str">
        <f>"22"</f>
        <v>22</v>
      </c>
      <c r="G1616" s="4" t="s">
        <v>12</v>
      </c>
      <c r="H1616" s="5">
        <v>0</v>
      </c>
      <c r="I1616" s="6" t="s">
        <v>13</v>
      </c>
      <c r="J1616" s="4">
        <f>SUMPRODUCT(--((A1616=$A$3:$A$2785)*$H$3:$H$2785&gt;H1616))+1</f>
        <v>268</v>
      </c>
    </row>
    <row r="1617" s="1" customFormat="true" customHeight="true" spans="1:10">
      <c r="A1617" s="4" t="str">
        <f t="shared" si="189"/>
        <v>021</v>
      </c>
      <c r="B1617" s="4" t="s">
        <v>33</v>
      </c>
      <c r="C1617" s="4" t="str">
        <f>"汪湖兰"</f>
        <v>汪湖兰</v>
      </c>
      <c r="D1617" s="4" t="str">
        <f>"2021012225"</f>
        <v>2021012225</v>
      </c>
      <c r="E1617" s="4" t="str">
        <f t="shared" si="191"/>
        <v>22</v>
      </c>
      <c r="F1617" s="4" t="str">
        <f>"25"</f>
        <v>25</v>
      </c>
      <c r="G1617" s="4" t="s">
        <v>12</v>
      </c>
      <c r="H1617" s="5">
        <v>0</v>
      </c>
      <c r="I1617" s="6" t="s">
        <v>13</v>
      </c>
      <c r="J1617" s="4">
        <f>SUMPRODUCT(--((A1617=$A$3:$A$2785)*$H$3:$H$2785&gt;H1617))+1</f>
        <v>268</v>
      </c>
    </row>
    <row r="1618" s="1" customFormat="true" customHeight="true" spans="1:10">
      <c r="A1618" s="4" t="str">
        <f t="shared" si="189"/>
        <v>021</v>
      </c>
      <c r="B1618" s="4" t="s">
        <v>33</v>
      </c>
      <c r="C1618" s="4" t="str">
        <f>"易丽萨"</f>
        <v>易丽萨</v>
      </c>
      <c r="D1618" s="4" t="str">
        <f>"2021012228"</f>
        <v>2021012228</v>
      </c>
      <c r="E1618" s="4" t="str">
        <f t="shared" si="191"/>
        <v>22</v>
      </c>
      <c r="F1618" s="4" t="str">
        <f>"28"</f>
        <v>28</v>
      </c>
      <c r="G1618" s="4" t="s">
        <v>12</v>
      </c>
      <c r="H1618" s="5">
        <v>0</v>
      </c>
      <c r="I1618" s="6" t="s">
        <v>13</v>
      </c>
      <c r="J1618" s="4">
        <f>SUMPRODUCT(--((A1618=$A$3:$A$2785)*$H$3:$H$2785&gt;H1618))+1</f>
        <v>268</v>
      </c>
    </row>
    <row r="1619" s="1" customFormat="true" customHeight="true" spans="1:10">
      <c r="A1619" s="4" t="str">
        <f t="shared" si="189"/>
        <v>021</v>
      </c>
      <c r="B1619" s="4" t="s">
        <v>33</v>
      </c>
      <c r="C1619" s="4" t="str">
        <f>"吴钰莹"</f>
        <v>吴钰莹</v>
      </c>
      <c r="D1619" s="4" t="str">
        <f>"2021012229"</f>
        <v>2021012229</v>
      </c>
      <c r="E1619" s="4" t="str">
        <f t="shared" si="191"/>
        <v>22</v>
      </c>
      <c r="F1619" s="4" t="str">
        <f>"29"</f>
        <v>29</v>
      </c>
      <c r="G1619" s="4" t="s">
        <v>12</v>
      </c>
      <c r="H1619" s="5">
        <v>0</v>
      </c>
      <c r="I1619" s="6" t="s">
        <v>13</v>
      </c>
      <c r="J1619" s="4">
        <f>SUMPRODUCT(--((A1619=$A$3:$A$2785)*$H$3:$H$2785&gt;H1619))+1</f>
        <v>268</v>
      </c>
    </row>
    <row r="1620" s="1" customFormat="true" customHeight="true" spans="1:10">
      <c r="A1620" s="4" t="str">
        <f t="shared" si="189"/>
        <v>021</v>
      </c>
      <c r="B1620" s="4" t="s">
        <v>33</v>
      </c>
      <c r="C1620" s="4" t="str">
        <f>"胡海莉"</f>
        <v>胡海莉</v>
      </c>
      <c r="D1620" s="4" t="str">
        <f>"2021012303"</f>
        <v>2021012303</v>
      </c>
      <c r="E1620" s="4" t="str">
        <f t="shared" ref="E1620:E1622" si="192">"23"</f>
        <v>23</v>
      </c>
      <c r="F1620" s="4" t="str">
        <f>"03"</f>
        <v>03</v>
      </c>
      <c r="G1620" s="4" t="s">
        <v>12</v>
      </c>
      <c r="H1620" s="5">
        <v>0</v>
      </c>
      <c r="I1620" s="6" t="s">
        <v>13</v>
      </c>
      <c r="J1620" s="4">
        <f>SUMPRODUCT(--((A1620=$A$3:$A$2785)*$H$3:$H$2785&gt;H1620))+1</f>
        <v>268</v>
      </c>
    </row>
    <row r="1621" s="1" customFormat="true" customHeight="true" spans="1:10">
      <c r="A1621" s="4" t="str">
        <f t="shared" si="189"/>
        <v>021</v>
      </c>
      <c r="B1621" s="4" t="s">
        <v>33</v>
      </c>
      <c r="C1621" s="4" t="str">
        <f>"舒勤"</f>
        <v>舒勤</v>
      </c>
      <c r="D1621" s="4" t="str">
        <f>"2021012310"</f>
        <v>2021012310</v>
      </c>
      <c r="E1621" s="4" t="str">
        <f t="shared" si="192"/>
        <v>23</v>
      </c>
      <c r="F1621" s="4" t="str">
        <f>"10"</f>
        <v>10</v>
      </c>
      <c r="G1621" s="4" t="s">
        <v>12</v>
      </c>
      <c r="H1621" s="5">
        <v>0</v>
      </c>
      <c r="I1621" s="6" t="s">
        <v>13</v>
      </c>
      <c r="J1621" s="4">
        <f>SUMPRODUCT(--((A1621=$A$3:$A$2785)*$H$3:$H$2785&gt;H1621))+1</f>
        <v>268</v>
      </c>
    </row>
    <row r="1622" s="1" customFormat="true" customHeight="true" spans="1:10">
      <c r="A1622" s="4" t="str">
        <f t="shared" si="189"/>
        <v>021</v>
      </c>
      <c r="B1622" s="4" t="s">
        <v>33</v>
      </c>
      <c r="C1622" s="4" t="str">
        <f>"黄芳"</f>
        <v>黄芳</v>
      </c>
      <c r="D1622" s="4" t="str">
        <f>"2021012313"</f>
        <v>2021012313</v>
      </c>
      <c r="E1622" s="4" t="str">
        <f t="shared" si="192"/>
        <v>23</v>
      </c>
      <c r="F1622" s="4" t="str">
        <f>"13"</f>
        <v>13</v>
      </c>
      <c r="G1622" s="4" t="s">
        <v>12</v>
      </c>
      <c r="H1622" s="5">
        <v>0</v>
      </c>
      <c r="I1622" s="6" t="s">
        <v>13</v>
      </c>
      <c r="J1622" s="4">
        <f>SUMPRODUCT(--((A1622=$A$3:$A$2785)*$H$3:$H$2785&gt;H1622))+1</f>
        <v>268</v>
      </c>
    </row>
    <row r="1623" s="1" customFormat="true" customHeight="true" spans="1:10">
      <c r="A1623" s="4" t="str">
        <f t="shared" ref="A1623:A1686" si="193">"022"</f>
        <v>022</v>
      </c>
      <c r="B1623" s="4" t="s">
        <v>34</v>
      </c>
      <c r="C1623" s="4" t="str">
        <f>"刘丽花"</f>
        <v>刘丽花</v>
      </c>
      <c r="D1623" s="4" t="str">
        <f>"2021012702"</f>
        <v>2021012702</v>
      </c>
      <c r="E1623" s="4" t="str">
        <f>"27"</f>
        <v>27</v>
      </c>
      <c r="F1623" s="4" t="str">
        <f>"02"</f>
        <v>02</v>
      </c>
      <c r="G1623" s="4" t="s">
        <v>12</v>
      </c>
      <c r="H1623" s="5">
        <v>81.25</v>
      </c>
      <c r="I1623" s="4"/>
      <c r="J1623" s="4">
        <f>SUMPRODUCT(--((A1623=$A$3:$A$2785)*$H$3:$H$2785&gt;H1623))+1</f>
        <v>1</v>
      </c>
    </row>
    <row r="1624" s="1" customFormat="true" customHeight="true" spans="1:10">
      <c r="A1624" s="4" t="str">
        <f t="shared" si="193"/>
        <v>022</v>
      </c>
      <c r="B1624" s="4" t="s">
        <v>34</v>
      </c>
      <c r="C1624" s="4" t="str">
        <f>"张雪波"</f>
        <v>张雪波</v>
      </c>
      <c r="D1624" s="4" t="str">
        <f>"2021012620"</f>
        <v>2021012620</v>
      </c>
      <c r="E1624" s="4" t="str">
        <f t="shared" ref="E1624:E1627" si="194">"26"</f>
        <v>26</v>
      </c>
      <c r="F1624" s="4" t="str">
        <f>"20"</f>
        <v>20</v>
      </c>
      <c r="G1624" s="4" t="s">
        <v>12</v>
      </c>
      <c r="H1624" s="5">
        <v>77.5</v>
      </c>
      <c r="I1624" s="4"/>
      <c r="J1624" s="4">
        <f>SUMPRODUCT(--((A1624=$A$3:$A$2785)*$H$3:$H$2785&gt;H1624))+1</f>
        <v>2</v>
      </c>
    </row>
    <row r="1625" s="1" customFormat="true" customHeight="true" spans="1:10">
      <c r="A1625" s="4" t="str">
        <f t="shared" si="193"/>
        <v>022</v>
      </c>
      <c r="B1625" s="4" t="s">
        <v>34</v>
      </c>
      <c r="C1625" s="4" t="str">
        <f>"韩嫣"</f>
        <v>韩嫣</v>
      </c>
      <c r="D1625" s="4" t="str">
        <f>"2021012616"</f>
        <v>2021012616</v>
      </c>
      <c r="E1625" s="4" t="str">
        <f t="shared" si="194"/>
        <v>26</v>
      </c>
      <c r="F1625" s="4" t="str">
        <f>"16"</f>
        <v>16</v>
      </c>
      <c r="G1625" s="4" t="s">
        <v>12</v>
      </c>
      <c r="H1625" s="5">
        <v>77.25</v>
      </c>
      <c r="I1625" s="4"/>
      <c r="J1625" s="4">
        <f>SUMPRODUCT(--((A1625=$A$3:$A$2785)*$H$3:$H$2785&gt;H1625))+1</f>
        <v>3</v>
      </c>
    </row>
    <row r="1626" s="1" customFormat="true" customHeight="true" spans="1:10">
      <c r="A1626" s="4" t="str">
        <f t="shared" si="193"/>
        <v>022</v>
      </c>
      <c r="B1626" s="4" t="s">
        <v>34</v>
      </c>
      <c r="C1626" s="4" t="str">
        <f>"张一"</f>
        <v>张一</v>
      </c>
      <c r="D1626" s="4" t="str">
        <f>"2021013228"</f>
        <v>2021013228</v>
      </c>
      <c r="E1626" s="4" t="str">
        <f>"32"</f>
        <v>32</v>
      </c>
      <c r="F1626" s="4" t="str">
        <f>"28"</f>
        <v>28</v>
      </c>
      <c r="G1626" s="4" t="s">
        <v>12</v>
      </c>
      <c r="H1626" s="5">
        <v>76</v>
      </c>
      <c r="I1626" s="4"/>
      <c r="J1626" s="4">
        <f>SUMPRODUCT(--((A1626=$A$3:$A$2785)*$H$3:$H$2785&gt;H1626))+1</f>
        <v>4</v>
      </c>
    </row>
    <row r="1627" s="1" customFormat="true" customHeight="true" spans="1:10">
      <c r="A1627" s="4" t="str">
        <f t="shared" si="193"/>
        <v>022</v>
      </c>
      <c r="B1627" s="4" t="s">
        <v>34</v>
      </c>
      <c r="C1627" s="4" t="str">
        <f>"唐薇"</f>
        <v>唐薇</v>
      </c>
      <c r="D1627" s="4" t="str">
        <f>"2021012604"</f>
        <v>2021012604</v>
      </c>
      <c r="E1627" s="4" t="str">
        <f t="shared" si="194"/>
        <v>26</v>
      </c>
      <c r="F1627" s="4" t="str">
        <f>"04"</f>
        <v>04</v>
      </c>
      <c r="G1627" s="4" t="s">
        <v>12</v>
      </c>
      <c r="H1627" s="5">
        <v>75</v>
      </c>
      <c r="I1627" s="4"/>
      <c r="J1627" s="4">
        <f>SUMPRODUCT(--((A1627=$A$3:$A$2785)*$H$3:$H$2785&gt;H1627))+1</f>
        <v>5</v>
      </c>
    </row>
    <row r="1628" s="1" customFormat="true" customHeight="true" spans="1:10">
      <c r="A1628" s="4" t="str">
        <f t="shared" si="193"/>
        <v>022</v>
      </c>
      <c r="B1628" s="4" t="s">
        <v>34</v>
      </c>
      <c r="C1628" s="4" t="str">
        <f>"赵艺琳"</f>
        <v>赵艺琳</v>
      </c>
      <c r="D1628" s="4" t="str">
        <f>"2021013007"</f>
        <v>2021013007</v>
      </c>
      <c r="E1628" s="4" t="str">
        <f>"30"</f>
        <v>30</v>
      </c>
      <c r="F1628" s="4" t="str">
        <f>"07"</f>
        <v>07</v>
      </c>
      <c r="G1628" s="4" t="s">
        <v>12</v>
      </c>
      <c r="H1628" s="5">
        <v>74.75</v>
      </c>
      <c r="I1628" s="4"/>
      <c r="J1628" s="4">
        <f>SUMPRODUCT(--((A1628=$A$3:$A$2785)*$H$3:$H$2785&gt;H1628))+1</f>
        <v>6</v>
      </c>
    </row>
    <row r="1629" s="1" customFormat="true" customHeight="true" spans="1:10">
      <c r="A1629" s="4" t="str">
        <f t="shared" si="193"/>
        <v>022</v>
      </c>
      <c r="B1629" s="4" t="s">
        <v>34</v>
      </c>
      <c r="C1629" s="4" t="str">
        <f>"万欣"</f>
        <v>万欣</v>
      </c>
      <c r="D1629" s="4" t="str">
        <f>"2021013206"</f>
        <v>2021013206</v>
      </c>
      <c r="E1629" s="4" t="str">
        <f>"32"</f>
        <v>32</v>
      </c>
      <c r="F1629" s="4" t="str">
        <f>"06"</f>
        <v>06</v>
      </c>
      <c r="G1629" s="4" t="s">
        <v>12</v>
      </c>
      <c r="H1629" s="5">
        <v>73.5</v>
      </c>
      <c r="I1629" s="4"/>
      <c r="J1629" s="4">
        <f>SUMPRODUCT(--((A1629=$A$3:$A$2785)*$H$3:$H$2785&gt;H1629))+1</f>
        <v>7</v>
      </c>
    </row>
    <row r="1630" s="1" customFormat="true" customHeight="true" spans="1:10">
      <c r="A1630" s="4" t="str">
        <f t="shared" si="193"/>
        <v>022</v>
      </c>
      <c r="B1630" s="4" t="s">
        <v>34</v>
      </c>
      <c r="C1630" s="4" t="str">
        <f>"李洋"</f>
        <v>李洋</v>
      </c>
      <c r="D1630" s="4" t="str">
        <f>"2021013317"</f>
        <v>2021013317</v>
      </c>
      <c r="E1630" s="4" t="str">
        <f>"33"</f>
        <v>33</v>
      </c>
      <c r="F1630" s="4" t="str">
        <f>"17"</f>
        <v>17</v>
      </c>
      <c r="G1630" s="4" t="s">
        <v>12</v>
      </c>
      <c r="H1630" s="5">
        <v>72.25</v>
      </c>
      <c r="I1630" s="4"/>
      <c r="J1630" s="4">
        <f>SUMPRODUCT(--((A1630=$A$3:$A$2785)*$H$3:$H$2785&gt;H1630))+1</f>
        <v>8</v>
      </c>
    </row>
    <row r="1631" s="1" customFormat="true" customHeight="true" spans="1:10">
      <c r="A1631" s="4" t="str">
        <f t="shared" si="193"/>
        <v>022</v>
      </c>
      <c r="B1631" s="4" t="s">
        <v>34</v>
      </c>
      <c r="C1631" s="4" t="str">
        <f>"王素珍"</f>
        <v>王素珍</v>
      </c>
      <c r="D1631" s="4" t="str">
        <f>"2021012705"</f>
        <v>2021012705</v>
      </c>
      <c r="E1631" s="4" t="str">
        <f>"27"</f>
        <v>27</v>
      </c>
      <c r="F1631" s="4" t="str">
        <f>"05"</f>
        <v>05</v>
      </c>
      <c r="G1631" s="4" t="s">
        <v>12</v>
      </c>
      <c r="H1631" s="5">
        <v>72</v>
      </c>
      <c r="I1631" s="4"/>
      <c r="J1631" s="4">
        <f>SUMPRODUCT(--((A1631=$A$3:$A$2785)*$H$3:$H$2785&gt;H1631))+1</f>
        <v>9</v>
      </c>
    </row>
    <row r="1632" s="1" customFormat="true" customHeight="true" spans="1:10">
      <c r="A1632" s="4" t="str">
        <f t="shared" si="193"/>
        <v>022</v>
      </c>
      <c r="B1632" s="4" t="s">
        <v>34</v>
      </c>
      <c r="C1632" s="4" t="str">
        <f>"刘雨"</f>
        <v>刘雨</v>
      </c>
      <c r="D1632" s="4" t="str">
        <f>"2021012630"</f>
        <v>2021012630</v>
      </c>
      <c r="E1632" s="4" t="str">
        <f>"26"</f>
        <v>26</v>
      </c>
      <c r="F1632" s="4" t="str">
        <f>"30"</f>
        <v>30</v>
      </c>
      <c r="G1632" s="4" t="s">
        <v>12</v>
      </c>
      <c r="H1632" s="5">
        <v>71.25</v>
      </c>
      <c r="I1632" s="4"/>
      <c r="J1632" s="4">
        <f>SUMPRODUCT(--((A1632=$A$3:$A$2785)*$H$3:$H$2785&gt;H1632))+1</f>
        <v>10</v>
      </c>
    </row>
    <row r="1633" s="1" customFormat="true" customHeight="true" spans="1:10">
      <c r="A1633" s="4" t="str">
        <f t="shared" si="193"/>
        <v>022</v>
      </c>
      <c r="B1633" s="4" t="s">
        <v>34</v>
      </c>
      <c r="C1633" s="4" t="str">
        <f>"孙壁霞"</f>
        <v>孙壁霞</v>
      </c>
      <c r="D1633" s="4" t="str">
        <f>"2021013001"</f>
        <v>2021013001</v>
      </c>
      <c r="E1633" s="4" t="str">
        <f>"30"</f>
        <v>30</v>
      </c>
      <c r="F1633" s="4" t="str">
        <f>"01"</f>
        <v>01</v>
      </c>
      <c r="G1633" s="4" t="s">
        <v>12</v>
      </c>
      <c r="H1633" s="5">
        <v>71.25</v>
      </c>
      <c r="I1633" s="4"/>
      <c r="J1633" s="4">
        <f>SUMPRODUCT(--((A1633=$A$3:$A$2785)*$H$3:$H$2785&gt;H1633))+1</f>
        <v>10</v>
      </c>
    </row>
    <row r="1634" s="1" customFormat="true" customHeight="true" spans="1:10">
      <c r="A1634" s="4" t="str">
        <f t="shared" si="193"/>
        <v>022</v>
      </c>
      <c r="B1634" s="4" t="s">
        <v>34</v>
      </c>
      <c r="C1634" s="4" t="str">
        <f>"包雪利"</f>
        <v>包雪利</v>
      </c>
      <c r="D1634" s="4" t="str">
        <f>"2021012725"</f>
        <v>2021012725</v>
      </c>
      <c r="E1634" s="4" t="str">
        <f>"27"</f>
        <v>27</v>
      </c>
      <c r="F1634" s="4" t="str">
        <f>"25"</f>
        <v>25</v>
      </c>
      <c r="G1634" s="4" t="s">
        <v>12</v>
      </c>
      <c r="H1634" s="5">
        <v>71</v>
      </c>
      <c r="I1634" s="4"/>
      <c r="J1634" s="4">
        <f>SUMPRODUCT(--((A1634=$A$3:$A$2785)*$H$3:$H$2785&gt;H1634))+1</f>
        <v>12</v>
      </c>
    </row>
    <row r="1635" s="1" customFormat="true" customHeight="true" spans="1:10">
      <c r="A1635" s="4" t="str">
        <f t="shared" si="193"/>
        <v>022</v>
      </c>
      <c r="B1635" s="4" t="s">
        <v>34</v>
      </c>
      <c r="C1635" s="4" t="str">
        <f>"黄华"</f>
        <v>黄华</v>
      </c>
      <c r="D1635" s="4" t="str">
        <f>"2021013022"</f>
        <v>2021013022</v>
      </c>
      <c r="E1635" s="4" t="str">
        <f>"30"</f>
        <v>30</v>
      </c>
      <c r="F1635" s="4" t="str">
        <f>"22"</f>
        <v>22</v>
      </c>
      <c r="G1635" s="4" t="s">
        <v>12</v>
      </c>
      <c r="H1635" s="5">
        <v>70.5</v>
      </c>
      <c r="I1635" s="4"/>
      <c r="J1635" s="4">
        <f>SUMPRODUCT(--((A1635=$A$3:$A$2785)*$H$3:$H$2785&gt;H1635))+1</f>
        <v>13</v>
      </c>
    </row>
    <row r="1636" s="1" customFormat="true" customHeight="true" spans="1:10">
      <c r="A1636" s="4" t="str">
        <f t="shared" si="193"/>
        <v>022</v>
      </c>
      <c r="B1636" s="4" t="s">
        <v>34</v>
      </c>
      <c r="C1636" s="4" t="str">
        <f>"尹湘"</f>
        <v>尹湘</v>
      </c>
      <c r="D1636" s="4" t="str">
        <f>"2021012525"</f>
        <v>2021012525</v>
      </c>
      <c r="E1636" s="4" t="str">
        <f>"25"</f>
        <v>25</v>
      </c>
      <c r="F1636" s="4" t="str">
        <f>"25"</f>
        <v>25</v>
      </c>
      <c r="G1636" s="4" t="s">
        <v>12</v>
      </c>
      <c r="H1636" s="5">
        <v>70</v>
      </c>
      <c r="I1636" s="4"/>
      <c r="J1636" s="4">
        <f>SUMPRODUCT(--((A1636=$A$3:$A$2785)*$H$3:$H$2785&gt;H1636))+1</f>
        <v>14</v>
      </c>
    </row>
    <row r="1637" s="1" customFormat="true" customHeight="true" spans="1:10">
      <c r="A1637" s="4" t="str">
        <f t="shared" si="193"/>
        <v>022</v>
      </c>
      <c r="B1637" s="4" t="s">
        <v>34</v>
      </c>
      <c r="C1637" s="4" t="str">
        <f>"彭佳辉"</f>
        <v>彭佳辉</v>
      </c>
      <c r="D1637" s="4" t="str">
        <f>"2021012819"</f>
        <v>2021012819</v>
      </c>
      <c r="E1637" s="4" t="str">
        <f>"28"</f>
        <v>28</v>
      </c>
      <c r="F1637" s="4" t="str">
        <f>"19"</f>
        <v>19</v>
      </c>
      <c r="G1637" s="4" t="s">
        <v>12</v>
      </c>
      <c r="H1637" s="5">
        <v>70</v>
      </c>
      <c r="I1637" s="4"/>
      <c r="J1637" s="4">
        <f>SUMPRODUCT(--((A1637=$A$3:$A$2785)*$H$3:$H$2785&gt;H1637))+1</f>
        <v>14</v>
      </c>
    </row>
    <row r="1638" s="1" customFormat="true" customHeight="true" spans="1:10">
      <c r="A1638" s="4" t="str">
        <f t="shared" si="193"/>
        <v>022</v>
      </c>
      <c r="B1638" s="4" t="s">
        <v>34</v>
      </c>
      <c r="C1638" s="4" t="str">
        <f>"游雅淇"</f>
        <v>游雅淇</v>
      </c>
      <c r="D1638" s="4" t="str">
        <f>"2021012916"</f>
        <v>2021012916</v>
      </c>
      <c r="E1638" s="4" t="str">
        <f>"29"</f>
        <v>29</v>
      </c>
      <c r="F1638" s="4" t="str">
        <f>"16"</f>
        <v>16</v>
      </c>
      <c r="G1638" s="4" t="s">
        <v>12</v>
      </c>
      <c r="H1638" s="5">
        <v>70</v>
      </c>
      <c r="I1638" s="4"/>
      <c r="J1638" s="4">
        <f>SUMPRODUCT(--((A1638=$A$3:$A$2785)*$H$3:$H$2785&gt;H1638))+1</f>
        <v>14</v>
      </c>
    </row>
    <row r="1639" s="1" customFormat="true" customHeight="true" spans="1:10">
      <c r="A1639" s="4" t="str">
        <f t="shared" si="193"/>
        <v>022</v>
      </c>
      <c r="B1639" s="4" t="s">
        <v>34</v>
      </c>
      <c r="C1639" s="4" t="str">
        <f>"张燕"</f>
        <v>张燕</v>
      </c>
      <c r="D1639" s="4" t="str">
        <f>"2021013021"</f>
        <v>2021013021</v>
      </c>
      <c r="E1639" s="4" t="str">
        <f>"30"</f>
        <v>30</v>
      </c>
      <c r="F1639" s="4" t="str">
        <f>"21"</f>
        <v>21</v>
      </c>
      <c r="G1639" s="4" t="s">
        <v>12</v>
      </c>
      <c r="H1639" s="5">
        <v>69.75</v>
      </c>
      <c r="I1639" s="4"/>
      <c r="J1639" s="4">
        <f>SUMPRODUCT(--((A1639=$A$3:$A$2785)*$H$3:$H$2785&gt;H1639))+1</f>
        <v>17</v>
      </c>
    </row>
    <row r="1640" s="1" customFormat="true" customHeight="true" spans="1:10">
      <c r="A1640" s="4" t="str">
        <f t="shared" si="193"/>
        <v>022</v>
      </c>
      <c r="B1640" s="4" t="s">
        <v>34</v>
      </c>
      <c r="C1640" s="4" t="str">
        <f>"谢莹"</f>
        <v>谢莹</v>
      </c>
      <c r="D1640" s="4" t="str">
        <f>"2021013320"</f>
        <v>2021013320</v>
      </c>
      <c r="E1640" s="4" t="str">
        <f>"33"</f>
        <v>33</v>
      </c>
      <c r="F1640" s="4" t="str">
        <f>"20"</f>
        <v>20</v>
      </c>
      <c r="G1640" s="4" t="s">
        <v>12</v>
      </c>
      <c r="H1640" s="5">
        <v>69.5</v>
      </c>
      <c r="I1640" s="4"/>
      <c r="J1640" s="4">
        <f>SUMPRODUCT(--((A1640=$A$3:$A$2785)*$H$3:$H$2785&gt;H1640))+1</f>
        <v>18</v>
      </c>
    </row>
    <row r="1641" s="1" customFormat="true" customHeight="true" spans="1:10">
      <c r="A1641" s="4" t="str">
        <f t="shared" si="193"/>
        <v>022</v>
      </c>
      <c r="B1641" s="4" t="s">
        <v>34</v>
      </c>
      <c r="C1641" s="4" t="str">
        <f>"张腊"</f>
        <v>张腊</v>
      </c>
      <c r="D1641" s="4" t="str">
        <f>"2021013124"</f>
        <v>2021013124</v>
      </c>
      <c r="E1641" s="4" t="str">
        <f>"31"</f>
        <v>31</v>
      </c>
      <c r="F1641" s="4" t="str">
        <f>"24"</f>
        <v>24</v>
      </c>
      <c r="G1641" s="4" t="s">
        <v>12</v>
      </c>
      <c r="H1641" s="5">
        <v>68.75</v>
      </c>
      <c r="I1641" s="4"/>
      <c r="J1641" s="4">
        <f>SUMPRODUCT(--((A1641=$A$3:$A$2785)*$H$3:$H$2785&gt;H1641))+1</f>
        <v>19</v>
      </c>
    </row>
    <row r="1642" s="1" customFormat="true" customHeight="true" spans="1:10">
      <c r="A1642" s="4" t="str">
        <f t="shared" si="193"/>
        <v>022</v>
      </c>
      <c r="B1642" s="4" t="s">
        <v>34</v>
      </c>
      <c r="C1642" s="4" t="str">
        <f>"夏灿"</f>
        <v>夏灿</v>
      </c>
      <c r="D1642" s="4" t="str">
        <f>"2021012621"</f>
        <v>2021012621</v>
      </c>
      <c r="E1642" s="4" t="str">
        <f>"26"</f>
        <v>26</v>
      </c>
      <c r="F1642" s="4" t="str">
        <f>"21"</f>
        <v>21</v>
      </c>
      <c r="G1642" s="4" t="s">
        <v>12</v>
      </c>
      <c r="H1642" s="5">
        <v>68.25</v>
      </c>
      <c r="I1642" s="4"/>
      <c r="J1642" s="4">
        <f>SUMPRODUCT(--((A1642=$A$3:$A$2785)*$H$3:$H$2785&gt;H1642))+1</f>
        <v>20</v>
      </c>
    </row>
    <row r="1643" s="1" customFormat="true" customHeight="true" spans="1:10">
      <c r="A1643" s="4" t="str">
        <f t="shared" si="193"/>
        <v>022</v>
      </c>
      <c r="B1643" s="4" t="s">
        <v>34</v>
      </c>
      <c r="C1643" s="4" t="str">
        <f>"侯汝垚"</f>
        <v>侯汝垚</v>
      </c>
      <c r="D1643" s="4" t="str">
        <f>"2021012715"</f>
        <v>2021012715</v>
      </c>
      <c r="E1643" s="4" t="str">
        <f>"27"</f>
        <v>27</v>
      </c>
      <c r="F1643" s="4" t="str">
        <f>"15"</f>
        <v>15</v>
      </c>
      <c r="G1643" s="4" t="s">
        <v>12</v>
      </c>
      <c r="H1643" s="5">
        <v>67.75</v>
      </c>
      <c r="I1643" s="4"/>
      <c r="J1643" s="4">
        <f>SUMPRODUCT(--((A1643=$A$3:$A$2785)*$H$3:$H$2785&gt;H1643))+1</f>
        <v>21</v>
      </c>
    </row>
    <row r="1644" s="1" customFormat="true" customHeight="true" spans="1:10">
      <c r="A1644" s="4" t="str">
        <f t="shared" si="193"/>
        <v>022</v>
      </c>
      <c r="B1644" s="4" t="s">
        <v>34</v>
      </c>
      <c r="C1644" s="4" t="str">
        <f>"贺之君"</f>
        <v>贺之君</v>
      </c>
      <c r="D1644" s="4" t="str">
        <f>"2021012609"</f>
        <v>2021012609</v>
      </c>
      <c r="E1644" s="4" t="str">
        <f>"26"</f>
        <v>26</v>
      </c>
      <c r="F1644" s="4" t="str">
        <f>"09"</f>
        <v>09</v>
      </c>
      <c r="G1644" s="4" t="s">
        <v>12</v>
      </c>
      <c r="H1644" s="5">
        <v>67.5</v>
      </c>
      <c r="I1644" s="4"/>
      <c r="J1644" s="4">
        <f>SUMPRODUCT(--((A1644=$A$3:$A$2785)*$H$3:$H$2785&gt;H1644))+1</f>
        <v>22</v>
      </c>
    </row>
    <row r="1645" s="1" customFormat="true" customHeight="true" spans="1:10">
      <c r="A1645" s="4" t="str">
        <f t="shared" si="193"/>
        <v>022</v>
      </c>
      <c r="B1645" s="4" t="s">
        <v>34</v>
      </c>
      <c r="C1645" s="4" t="str">
        <f>"龙芳"</f>
        <v>龙芳</v>
      </c>
      <c r="D1645" s="4" t="str">
        <f>"2021012826"</f>
        <v>2021012826</v>
      </c>
      <c r="E1645" s="4" t="str">
        <f>"28"</f>
        <v>28</v>
      </c>
      <c r="F1645" s="4" t="str">
        <f>"26"</f>
        <v>26</v>
      </c>
      <c r="G1645" s="4" t="s">
        <v>12</v>
      </c>
      <c r="H1645" s="5">
        <v>67.5</v>
      </c>
      <c r="I1645" s="4"/>
      <c r="J1645" s="4">
        <f>SUMPRODUCT(--((A1645=$A$3:$A$2785)*$H$3:$H$2785&gt;H1645))+1</f>
        <v>22</v>
      </c>
    </row>
    <row r="1646" s="1" customFormat="true" customHeight="true" spans="1:10">
      <c r="A1646" s="4" t="str">
        <f t="shared" si="193"/>
        <v>022</v>
      </c>
      <c r="B1646" s="4" t="s">
        <v>34</v>
      </c>
      <c r="C1646" s="4" t="str">
        <f>"李靖"</f>
        <v>李靖</v>
      </c>
      <c r="D1646" s="4" t="str">
        <f>"2021013026"</f>
        <v>2021013026</v>
      </c>
      <c r="E1646" s="4" t="str">
        <f>"30"</f>
        <v>30</v>
      </c>
      <c r="F1646" s="4" t="str">
        <f>"26"</f>
        <v>26</v>
      </c>
      <c r="G1646" s="4" t="s">
        <v>12</v>
      </c>
      <c r="H1646" s="5">
        <v>67.5</v>
      </c>
      <c r="I1646" s="4"/>
      <c r="J1646" s="4">
        <f>SUMPRODUCT(--((A1646=$A$3:$A$2785)*$H$3:$H$2785&gt;H1646))+1</f>
        <v>22</v>
      </c>
    </row>
    <row r="1647" s="1" customFormat="true" customHeight="true" spans="1:10">
      <c r="A1647" s="4" t="str">
        <f t="shared" si="193"/>
        <v>022</v>
      </c>
      <c r="B1647" s="4" t="s">
        <v>34</v>
      </c>
      <c r="C1647" s="4" t="str">
        <f>"蔡玲玲"</f>
        <v>蔡玲玲</v>
      </c>
      <c r="D1647" s="4" t="str">
        <f>"2021013216"</f>
        <v>2021013216</v>
      </c>
      <c r="E1647" s="4" t="str">
        <f>"32"</f>
        <v>32</v>
      </c>
      <c r="F1647" s="4" t="str">
        <f>"16"</f>
        <v>16</v>
      </c>
      <c r="G1647" s="4" t="s">
        <v>12</v>
      </c>
      <c r="H1647" s="5">
        <v>67.5</v>
      </c>
      <c r="I1647" s="4"/>
      <c r="J1647" s="4">
        <f>SUMPRODUCT(--((A1647=$A$3:$A$2785)*$H$3:$H$2785&gt;H1647))+1</f>
        <v>22</v>
      </c>
    </row>
    <row r="1648" s="1" customFormat="true" customHeight="true" spans="1:10">
      <c r="A1648" s="4" t="str">
        <f t="shared" si="193"/>
        <v>022</v>
      </c>
      <c r="B1648" s="4" t="s">
        <v>34</v>
      </c>
      <c r="C1648" s="4" t="str">
        <f>"李昭进"</f>
        <v>李昭进</v>
      </c>
      <c r="D1648" s="4" t="str">
        <f>"2021012607"</f>
        <v>2021012607</v>
      </c>
      <c r="E1648" s="4" t="str">
        <f>"26"</f>
        <v>26</v>
      </c>
      <c r="F1648" s="4" t="str">
        <f>"07"</f>
        <v>07</v>
      </c>
      <c r="G1648" s="4" t="s">
        <v>12</v>
      </c>
      <c r="H1648" s="5">
        <v>67.25</v>
      </c>
      <c r="I1648" s="4"/>
      <c r="J1648" s="4">
        <f>SUMPRODUCT(--((A1648=$A$3:$A$2785)*$H$3:$H$2785&gt;H1648))+1</f>
        <v>26</v>
      </c>
    </row>
    <row r="1649" s="1" customFormat="true" customHeight="true" spans="1:10">
      <c r="A1649" s="4" t="str">
        <f t="shared" si="193"/>
        <v>022</v>
      </c>
      <c r="B1649" s="4" t="s">
        <v>34</v>
      </c>
      <c r="C1649" s="4" t="str">
        <f>"张瑞"</f>
        <v>张瑞</v>
      </c>
      <c r="D1649" s="4" t="str">
        <f>"2021012906"</f>
        <v>2021012906</v>
      </c>
      <c r="E1649" s="4" t="str">
        <f>"29"</f>
        <v>29</v>
      </c>
      <c r="F1649" s="4" t="str">
        <f>"06"</f>
        <v>06</v>
      </c>
      <c r="G1649" s="4" t="s">
        <v>12</v>
      </c>
      <c r="H1649" s="5">
        <v>67.25</v>
      </c>
      <c r="I1649" s="4"/>
      <c r="J1649" s="4">
        <f>SUMPRODUCT(--((A1649=$A$3:$A$2785)*$H$3:$H$2785&gt;H1649))+1</f>
        <v>26</v>
      </c>
    </row>
    <row r="1650" s="1" customFormat="true" customHeight="true" spans="1:10">
      <c r="A1650" s="4" t="str">
        <f t="shared" si="193"/>
        <v>022</v>
      </c>
      <c r="B1650" s="4" t="s">
        <v>34</v>
      </c>
      <c r="C1650" s="4" t="str">
        <f>"单娅"</f>
        <v>单娅</v>
      </c>
      <c r="D1650" s="4" t="str">
        <f>"2021013011"</f>
        <v>2021013011</v>
      </c>
      <c r="E1650" s="4" t="str">
        <f>"30"</f>
        <v>30</v>
      </c>
      <c r="F1650" s="4" t="str">
        <f>"11"</f>
        <v>11</v>
      </c>
      <c r="G1650" s="4" t="s">
        <v>12</v>
      </c>
      <c r="H1650" s="5">
        <v>67</v>
      </c>
      <c r="I1650" s="4"/>
      <c r="J1650" s="4">
        <f>SUMPRODUCT(--((A1650=$A$3:$A$2785)*$H$3:$H$2785&gt;H1650))+1</f>
        <v>28</v>
      </c>
    </row>
    <row r="1651" s="1" customFormat="true" customHeight="true" spans="1:10">
      <c r="A1651" s="4" t="str">
        <f t="shared" si="193"/>
        <v>022</v>
      </c>
      <c r="B1651" s="4" t="s">
        <v>34</v>
      </c>
      <c r="C1651" s="4" t="str">
        <f>"石菲菲"</f>
        <v>石菲菲</v>
      </c>
      <c r="D1651" s="4" t="str">
        <f>"2021013107"</f>
        <v>2021013107</v>
      </c>
      <c r="E1651" s="4" t="str">
        <f>"31"</f>
        <v>31</v>
      </c>
      <c r="F1651" s="4" t="str">
        <f>"07"</f>
        <v>07</v>
      </c>
      <c r="G1651" s="4" t="s">
        <v>12</v>
      </c>
      <c r="H1651" s="5">
        <v>67</v>
      </c>
      <c r="I1651" s="4"/>
      <c r="J1651" s="4">
        <f>SUMPRODUCT(--((A1651=$A$3:$A$2785)*$H$3:$H$2785&gt;H1651))+1</f>
        <v>28</v>
      </c>
    </row>
    <row r="1652" s="1" customFormat="true" customHeight="true" spans="1:10">
      <c r="A1652" s="4" t="str">
        <f t="shared" si="193"/>
        <v>022</v>
      </c>
      <c r="B1652" s="4" t="s">
        <v>34</v>
      </c>
      <c r="C1652" s="4" t="str">
        <f>"舒诗琪"</f>
        <v>舒诗琪</v>
      </c>
      <c r="D1652" s="4" t="str">
        <f>"2021013319"</f>
        <v>2021013319</v>
      </c>
      <c r="E1652" s="4" t="str">
        <f>"33"</f>
        <v>33</v>
      </c>
      <c r="F1652" s="4" t="str">
        <f t="shared" ref="F1652:F1657" si="195">"19"</f>
        <v>19</v>
      </c>
      <c r="G1652" s="4" t="s">
        <v>12</v>
      </c>
      <c r="H1652" s="5">
        <v>66.75</v>
      </c>
      <c r="I1652" s="4"/>
      <c r="J1652" s="4">
        <f>SUMPRODUCT(--((A1652=$A$3:$A$2785)*$H$3:$H$2785&gt;H1652))+1</f>
        <v>30</v>
      </c>
    </row>
    <row r="1653" s="1" customFormat="true" customHeight="true" spans="1:10">
      <c r="A1653" s="4" t="str">
        <f t="shared" si="193"/>
        <v>022</v>
      </c>
      <c r="B1653" s="4" t="s">
        <v>34</v>
      </c>
      <c r="C1653" s="4" t="str">
        <f>"唐京萍"</f>
        <v>唐京萍</v>
      </c>
      <c r="D1653" s="4" t="str">
        <f>"2021012519"</f>
        <v>2021012519</v>
      </c>
      <c r="E1653" s="4" t="str">
        <f>"25"</f>
        <v>25</v>
      </c>
      <c r="F1653" s="4" t="str">
        <f t="shared" si="195"/>
        <v>19</v>
      </c>
      <c r="G1653" s="4" t="s">
        <v>12</v>
      </c>
      <c r="H1653" s="5">
        <v>66.5</v>
      </c>
      <c r="I1653" s="4"/>
      <c r="J1653" s="4">
        <f>SUMPRODUCT(--((A1653=$A$3:$A$2785)*$H$3:$H$2785&gt;H1653))+1</f>
        <v>31</v>
      </c>
    </row>
    <row r="1654" s="1" customFormat="true" customHeight="true" spans="1:10">
      <c r="A1654" s="4" t="str">
        <f t="shared" si="193"/>
        <v>022</v>
      </c>
      <c r="B1654" s="4" t="s">
        <v>34</v>
      </c>
      <c r="C1654" s="4" t="str">
        <f>"夏慧玲"</f>
        <v>夏慧玲</v>
      </c>
      <c r="D1654" s="4" t="str">
        <f>"2021012924"</f>
        <v>2021012924</v>
      </c>
      <c r="E1654" s="4" t="str">
        <f>"29"</f>
        <v>29</v>
      </c>
      <c r="F1654" s="4" t="str">
        <f>"24"</f>
        <v>24</v>
      </c>
      <c r="G1654" s="4" t="s">
        <v>12</v>
      </c>
      <c r="H1654" s="5">
        <v>66</v>
      </c>
      <c r="I1654" s="4"/>
      <c r="J1654" s="4">
        <f>SUMPRODUCT(--((A1654=$A$3:$A$2785)*$H$3:$H$2785&gt;H1654))+1</f>
        <v>32</v>
      </c>
    </row>
    <row r="1655" s="1" customFormat="true" customHeight="true" spans="1:10">
      <c r="A1655" s="4" t="str">
        <f t="shared" si="193"/>
        <v>022</v>
      </c>
      <c r="B1655" s="4" t="s">
        <v>34</v>
      </c>
      <c r="C1655" s="4" t="str">
        <f>"贺萍"</f>
        <v>贺萍</v>
      </c>
      <c r="D1655" s="4" t="str">
        <f>"2021013116"</f>
        <v>2021013116</v>
      </c>
      <c r="E1655" s="4" t="str">
        <f>"31"</f>
        <v>31</v>
      </c>
      <c r="F1655" s="4" t="str">
        <f>"16"</f>
        <v>16</v>
      </c>
      <c r="G1655" s="4" t="s">
        <v>12</v>
      </c>
      <c r="H1655" s="5">
        <v>65.75</v>
      </c>
      <c r="I1655" s="4"/>
      <c r="J1655" s="4">
        <f>SUMPRODUCT(--((A1655=$A$3:$A$2785)*$H$3:$H$2785&gt;H1655))+1</f>
        <v>33</v>
      </c>
    </row>
    <row r="1656" s="1" customFormat="true" customHeight="true" spans="1:10">
      <c r="A1656" s="4" t="str">
        <f t="shared" si="193"/>
        <v>022</v>
      </c>
      <c r="B1656" s="4" t="s">
        <v>34</v>
      </c>
      <c r="C1656" s="4" t="str">
        <f>"冯雅莉"</f>
        <v>冯雅莉</v>
      </c>
      <c r="D1656" s="4" t="str">
        <f>"2021013222"</f>
        <v>2021013222</v>
      </c>
      <c r="E1656" s="4" t="str">
        <f>"32"</f>
        <v>32</v>
      </c>
      <c r="F1656" s="4" t="str">
        <f>"22"</f>
        <v>22</v>
      </c>
      <c r="G1656" s="4" t="s">
        <v>12</v>
      </c>
      <c r="H1656" s="5">
        <v>65.75</v>
      </c>
      <c r="I1656" s="4"/>
      <c r="J1656" s="4">
        <f>SUMPRODUCT(--((A1656=$A$3:$A$2785)*$H$3:$H$2785&gt;H1656))+1</f>
        <v>33</v>
      </c>
    </row>
    <row r="1657" s="1" customFormat="true" customHeight="true" spans="1:10">
      <c r="A1657" s="4" t="str">
        <f t="shared" si="193"/>
        <v>022</v>
      </c>
      <c r="B1657" s="4" t="s">
        <v>34</v>
      </c>
      <c r="C1657" s="4" t="str">
        <f>"肖涵漪"</f>
        <v>肖涵漪</v>
      </c>
      <c r="D1657" s="4" t="str">
        <f>"2021012619"</f>
        <v>2021012619</v>
      </c>
      <c r="E1657" s="4" t="str">
        <f>"26"</f>
        <v>26</v>
      </c>
      <c r="F1657" s="4" t="str">
        <f t="shared" si="195"/>
        <v>19</v>
      </c>
      <c r="G1657" s="4" t="s">
        <v>12</v>
      </c>
      <c r="H1657" s="5">
        <v>65.5</v>
      </c>
      <c r="I1657" s="4"/>
      <c r="J1657" s="4">
        <f>SUMPRODUCT(--((A1657=$A$3:$A$2785)*$H$3:$H$2785&gt;H1657))+1</f>
        <v>35</v>
      </c>
    </row>
    <row r="1658" s="1" customFormat="true" customHeight="true" spans="1:10">
      <c r="A1658" s="4" t="str">
        <f t="shared" si="193"/>
        <v>022</v>
      </c>
      <c r="B1658" s="4" t="s">
        <v>34</v>
      </c>
      <c r="C1658" s="4" t="str">
        <f>"欧婷婷"</f>
        <v>欧婷婷</v>
      </c>
      <c r="D1658" s="4" t="str">
        <f>"2021012720"</f>
        <v>2021012720</v>
      </c>
      <c r="E1658" s="4" t="str">
        <f>"27"</f>
        <v>27</v>
      </c>
      <c r="F1658" s="4" t="str">
        <f>"20"</f>
        <v>20</v>
      </c>
      <c r="G1658" s="4" t="s">
        <v>12</v>
      </c>
      <c r="H1658" s="5">
        <v>64.75</v>
      </c>
      <c r="I1658" s="4"/>
      <c r="J1658" s="4">
        <f>SUMPRODUCT(--((A1658=$A$3:$A$2785)*$H$3:$H$2785&gt;H1658))+1</f>
        <v>36</v>
      </c>
    </row>
    <row r="1659" s="1" customFormat="true" customHeight="true" spans="1:10">
      <c r="A1659" s="4" t="str">
        <f t="shared" si="193"/>
        <v>022</v>
      </c>
      <c r="B1659" s="4" t="s">
        <v>34</v>
      </c>
      <c r="C1659" s="4" t="str">
        <f>"彭订然"</f>
        <v>彭订然</v>
      </c>
      <c r="D1659" s="4" t="str">
        <f>"2021012912"</f>
        <v>2021012912</v>
      </c>
      <c r="E1659" s="4" t="str">
        <f>"29"</f>
        <v>29</v>
      </c>
      <c r="F1659" s="4" t="str">
        <f>"12"</f>
        <v>12</v>
      </c>
      <c r="G1659" s="4" t="s">
        <v>12</v>
      </c>
      <c r="H1659" s="5">
        <v>64.5</v>
      </c>
      <c r="I1659" s="4"/>
      <c r="J1659" s="4">
        <f>SUMPRODUCT(--((A1659=$A$3:$A$2785)*$H$3:$H$2785&gt;H1659))+1</f>
        <v>37</v>
      </c>
    </row>
    <row r="1660" s="1" customFormat="true" customHeight="true" spans="1:10">
      <c r="A1660" s="4" t="str">
        <f t="shared" si="193"/>
        <v>022</v>
      </c>
      <c r="B1660" s="4" t="s">
        <v>34</v>
      </c>
      <c r="C1660" s="4" t="str">
        <f>"王志鹏"</f>
        <v>王志鹏</v>
      </c>
      <c r="D1660" s="4" t="str">
        <f>"2021013024"</f>
        <v>2021013024</v>
      </c>
      <c r="E1660" s="4" t="str">
        <f>"30"</f>
        <v>30</v>
      </c>
      <c r="F1660" s="4" t="str">
        <f>"24"</f>
        <v>24</v>
      </c>
      <c r="G1660" s="4" t="s">
        <v>12</v>
      </c>
      <c r="H1660" s="5">
        <v>64.5</v>
      </c>
      <c r="I1660" s="4"/>
      <c r="J1660" s="4">
        <f>SUMPRODUCT(--((A1660=$A$3:$A$2785)*$H$3:$H$2785&gt;H1660))+1</f>
        <v>37</v>
      </c>
    </row>
    <row r="1661" s="1" customFormat="true" customHeight="true" spans="1:10">
      <c r="A1661" s="4" t="str">
        <f t="shared" si="193"/>
        <v>022</v>
      </c>
      <c r="B1661" s="4" t="s">
        <v>34</v>
      </c>
      <c r="C1661" s="4" t="str">
        <f>"王利"</f>
        <v>王利</v>
      </c>
      <c r="D1661" s="4" t="str">
        <f>"2021013220"</f>
        <v>2021013220</v>
      </c>
      <c r="E1661" s="4" t="str">
        <f>"32"</f>
        <v>32</v>
      </c>
      <c r="F1661" s="4" t="str">
        <f>"20"</f>
        <v>20</v>
      </c>
      <c r="G1661" s="4" t="s">
        <v>12</v>
      </c>
      <c r="H1661" s="5">
        <v>64.5</v>
      </c>
      <c r="I1661" s="4"/>
      <c r="J1661" s="4">
        <f>SUMPRODUCT(--((A1661=$A$3:$A$2785)*$H$3:$H$2785&gt;H1661))+1</f>
        <v>37</v>
      </c>
    </row>
    <row r="1662" s="1" customFormat="true" customHeight="true" spans="1:10">
      <c r="A1662" s="4" t="str">
        <f t="shared" si="193"/>
        <v>022</v>
      </c>
      <c r="B1662" s="4" t="s">
        <v>34</v>
      </c>
      <c r="C1662" s="4" t="str">
        <f>"唐粲"</f>
        <v>唐粲</v>
      </c>
      <c r="D1662" s="4" t="str">
        <f>"2021013306"</f>
        <v>2021013306</v>
      </c>
      <c r="E1662" s="4" t="str">
        <f>"33"</f>
        <v>33</v>
      </c>
      <c r="F1662" s="4" t="str">
        <f>"06"</f>
        <v>06</v>
      </c>
      <c r="G1662" s="4" t="s">
        <v>12</v>
      </c>
      <c r="H1662" s="5">
        <v>64.5</v>
      </c>
      <c r="I1662" s="4"/>
      <c r="J1662" s="4">
        <f>SUMPRODUCT(--((A1662=$A$3:$A$2785)*$H$3:$H$2785&gt;H1662))+1</f>
        <v>37</v>
      </c>
    </row>
    <row r="1663" s="1" customFormat="true" customHeight="true" spans="1:10">
      <c r="A1663" s="4" t="str">
        <f t="shared" si="193"/>
        <v>022</v>
      </c>
      <c r="B1663" s="4" t="s">
        <v>34</v>
      </c>
      <c r="C1663" s="4" t="str">
        <f>"胡真美"</f>
        <v>胡真美</v>
      </c>
      <c r="D1663" s="4" t="str">
        <f>"2021012726"</f>
        <v>2021012726</v>
      </c>
      <c r="E1663" s="4" t="str">
        <f>"27"</f>
        <v>27</v>
      </c>
      <c r="F1663" s="4" t="str">
        <f>"26"</f>
        <v>26</v>
      </c>
      <c r="G1663" s="4" t="s">
        <v>12</v>
      </c>
      <c r="H1663" s="5">
        <v>64.25</v>
      </c>
      <c r="I1663" s="4"/>
      <c r="J1663" s="4">
        <f>SUMPRODUCT(--((A1663=$A$3:$A$2785)*$H$3:$H$2785&gt;H1663))+1</f>
        <v>41</v>
      </c>
    </row>
    <row r="1664" s="1" customFormat="true" customHeight="true" spans="1:10">
      <c r="A1664" s="4" t="str">
        <f t="shared" si="193"/>
        <v>022</v>
      </c>
      <c r="B1664" s="4" t="s">
        <v>34</v>
      </c>
      <c r="C1664" s="4" t="str">
        <f>"蒋炘芳"</f>
        <v>蒋炘芳</v>
      </c>
      <c r="D1664" s="4" t="str">
        <f>"2021013002"</f>
        <v>2021013002</v>
      </c>
      <c r="E1664" s="4" t="str">
        <f>"30"</f>
        <v>30</v>
      </c>
      <c r="F1664" s="4" t="str">
        <f>"02"</f>
        <v>02</v>
      </c>
      <c r="G1664" s="4" t="s">
        <v>12</v>
      </c>
      <c r="H1664" s="5">
        <v>64.25</v>
      </c>
      <c r="I1664" s="4"/>
      <c r="J1664" s="4">
        <f>SUMPRODUCT(--((A1664=$A$3:$A$2785)*$H$3:$H$2785&gt;H1664))+1</f>
        <v>41</v>
      </c>
    </row>
    <row r="1665" s="1" customFormat="true" customHeight="true" spans="1:10">
      <c r="A1665" s="4" t="str">
        <f t="shared" si="193"/>
        <v>022</v>
      </c>
      <c r="B1665" s="4" t="s">
        <v>34</v>
      </c>
      <c r="C1665" s="4" t="str">
        <f>"郑媛"</f>
        <v>郑媛</v>
      </c>
      <c r="D1665" s="4" t="str">
        <f>"2021012808"</f>
        <v>2021012808</v>
      </c>
      <c r="E1665" s="4" t="str">
        <f>"28"</f>
        <v>28</v>
      </c>
      <c r="F1665" s="4" t="str">
        <f>"08"</f>
        <v>08</v>
      </c>
      <c r="G1665" s="4" t="s">
        <v>12</v>
      </c>
      <c r="H1665" s="5">
        <v>64</v>
      </c>
      <c r="I1665" s="4"/>
      <c r="J1665" s="4">
        <f>SUMPRODUCT(--((A1665=$A$3:$A$2785)*$H$3:$H$2785&gt;H1665))+1</f>
        <v>43</v>
      </c>
    </row>
    <row r="1666" s="1" customFormat="true" customHeight="true" spans="1:10">
      <c r="A1666" s="4" t="str">
        <f t="shared" si="193"/>
        <v>022</v>
      </c>
      <c r="B1666" s="4" t="s">
        <v>34</v>
      </c>
      <c r="C1666" s="4" t="str">
        <f>"柴福羚"</f>
        <v>柴福羚</v>
      </c>
      <c r="D1666" s="4" t="str">
        <f>"2021013128"</f>
        <v>2021013128</v>
      </c>
      <c r="E1666" s="4" t="str">
        <f>"31"</f>
        <v>31</v>
      </c>
      <c r="F1666" s="4" t="str">
        <f>"28"</f>
        <v>28</v>
      </c>
      <c r="G1666" s="4" t="s">
        <v>12</v>
      </c>
      <c r="H1666" s="5">
        <v>64</v>
      </c>
      <c r="I1666" s="4"/>
      <c r="J1666" s="4">
        <f>SUMPRODUCT(--((A1666=$A$3:$A$2785)*$H$3:$H$2785&gt;H1666))+1</f>
        <v>43</v>
      </c>
    </row>
    <row r="1667" s="1" customFormat="true" customHeight="true" spans="1:10">
      <c r="A1667" s="4" t="str">
        <f t="shared" si="193"/>
        <v>022</v>
      </c>
      <c r="B1667" s="4" t="s">
        <v>34</v>
      </c>
      <c r="C1667" s="4" t="str">
        <f>"龙晓英"</f>
        <v>龙晓英</v>
      </c>
      <c r="D1667" s="4" t="str">
        <f>"2021013013"</f>
        <v>2021013013</v>
      </c>
      <c r="E1667" s="4" t="str">
        <f>"30"</f>
        <v>30</v>
      </c>
      <c r="F1667" s="4" t="str">
        <f>"13"</f>
        <v>13</v>
      </c>
      <c r="G1667" s="4" t="s">
        <v>12</v>
      </c>
      <c r="H1667" s="5">
        <v>63.5</v>
      </c>
      <c r="I1667" s="4"/>
      <c r="J1667" s="4">
        <f>SUMPRODUCT(--((A1667=$A$3:$A$2785)*$H$3:$H$2785&gt;H1667))+1</f>
        <v>45</v>
      </c>
    </row>
    <row r="1668" s="1" customFormat="true" customHeight="true" spans="1:10">
      <c r="A1668" s="4" t="str">
        <f t="shared" si="193"/>
        <v>022</v>
      </c>
      <c r="B1668" s="4" t="s">
        <v>34</v>
      </c>
      <c r="C1668" s="4" t="str">
        <f>"田海燕"</f>
        <v>田海燕</v>
      </c>
      <c r="D1668" s="4" t="str">
        <f>"2021013103"</f>
        <v>2021013103</v>
      </c>
      <c r="E1668" s="4" t="str">
        <f>"31"</f>
        <v>31</v>
      </c>
      <c r="F1668" s="4" t="str">
        <f>"03"</f>
        <v>03</v>
      </c>
      <c r="G1668" s="4" t="s">
        <v>12</v>
      </c>
      <c r="H1668" s="5">
        <v>63.25</v>
      </c>
      <c r="I1668" s="4"/>
      <c r="J1668" s="4">
        <f>SUMPRODUCT(--((A1668=$A$3:$A$2785)*$H$3:$H$2785&gt;H1668))+1</f>
        <v>46</v>
      </c>
    </row>
    <row r="1669" s="1" customFormat="true" customHeight="true" spans="1:10">
      <c r="A1669" s="4" t="str">
        <f t="shared" si="193"/>
        <v>022</v>
      </c>
      <c r="B1669" s="4" t="s">
        <v>34</v>
      </c>
      <c r="C1669" s="4" t="str">
        <f>"舒军"</f>
        <v>舒军</v>
      </c>
      <c r="D1669" s="4" t="str">
        <f>"2021013213"</f>
        <v>2021013213</v>
      </c>
      <c r="E1669" s="4" t="str">
        <f>"32"</f>
        <v>32</v>
      </c>
      <c r="F1669" s="4" t="str">
        <f>"13"</f>
        <v>13</v>
      </c>
      <c r="G1669" s="4" t="s">
        <v>12</v>
      </c>
      <c r="H1669" s="5">
        <v>63</v>
      </c>
      <c r="I1669" s="4"/>
      <c r="J1669" s="4">
        <f>SUMPRODUCT(--((A1669=$A$3:$A$2785)*$H$3:$H$2785&gt;H1669))+1</f>
        <v>47</v>
      </c>
    </row>
    <row r="1670" s="1" customFormat="true" customHeight="true" spans="1:10">
      <c r="A1670" s="4" t="str">
        <f t="shared" si="193"/>
        <v>022</v>
      </c>
      <c r="B1670" s="4" t="s">
        <v>34</v>
      </c>
      <c r="C1670" s="4" t="str">
        <f>"杨美霞"</f>
        <v>杨美霞</v>
      </c>
      <c r="D1670" s="4" t="str">
        <f>"2021012712"</f>
        <v>2021012712</v>
      </c>
      <c r="E1670" s="4" t="str">
        <f>"27"</f>
        <v>27</v>
      </c>
      <c r="F1670" s="4" t="str">
        <f>"12"</f>
        <v>12</v>
      </c>
      <c r="G1670" s="4" t="s">
        <v>12</v>
      </c>
      <c r="H1670" s="5">
        <v>62.75</v>
      </c>
      <c r="I1670" s="4"/>
      <c r="J1670" s="4">
        <f>SUMPRODUCT(--((A1670=$A$3:$A$2785)*$H$3:$H$2785&gt;H1670))+1</f>
        <v>48</v>
      </c>
    </row>
    <row r="1671" s="1" customFormat="true" customHeight="true" spans="1:10">
      <c r="A1671" s="4" t="str">
        <f t="shared" si="193"/>
        <v>022</v>
      </c>
      <c r="B1671" s="4" t="s">
        <v>34</v>
      </c>
      <c r="C1671" s="4" t="str">
        <f>"向姣"</f>
        <v>向姣</v>
      </c>
      <c r="D1671" s="4" t="str">
        <f>"2021013311"</f>
        <v>2021013311</v>
      </c>
      <c r="E1671" s="4" t="str">
        <f>"33"</f>
        <v>33</v>
      </c>
      <c r="F1671" s="4" t="str">
        <f>"11"</f>
        <v>11</v>
      </c>
      <c r="G1671" s="4" t="s">
        <v>12</v>
      </c>
      <c r="H1671" s="5">
        <v>62.75</v>
      </c>
      <c r="I1671" s="4"/>
      <c r="J1671" s="4">
        <f>SUMPRODUCT(--((A1671=$A$3:$A$2785)*$H$3:$H$2785&gt;H1671))+1</f>
        <v>48</v>
      </c>
    </row>
    <row r="1672" s="1" customFormat="true" customHeight="true" spans="1:10">
      <c r="A1672" s="4" t="str">
        <f t="shared" si="193"/>
        <v>022</v>
      </c>
      <c r="B1672" s="4" t="s">
        <v>34</v>
      </c>
      <c r="C1672" s="4" t="str">
        <f>"隆华"</f>
        <v>隆华</v>
      </c>
      <c r="D1672" s="4" t="str">
        <f>"2021012526"</f>
        <v>2021012526</v>
      </c>
      <c r="E1672" s="4" t="str">
        <f>"25"</f>
        <v>25</v>
      </c>
      <c r="F1672" s="4" t="str">
        <f>"26"</f>
        <v>26</v>
      </c>
      <c r="G1672" s="4" t="s">
        <v>12</v>
      </c>
      <c r="H1672" s="5">
        <v>62.5</v>
      </c>
      <c r="I1672" s="4"/>
      <c r="J1672" s="4">
        <f>SUMPRODUCT(--((A1672=$A$3:$A$2785)*$H$3:$H$2785&gt;H1672))+1</f>
        <v>50</v>
      </c>
    </row>
    <row r="1673" s="1" customFormat="true" customHeight="true" spans="1:10">
      <c r="A1673" s="4" t="str">
        <f t="shared" si="193"/>
        <v>022</v>
      </c>
      <c r="B1673" s="4" t="s">
        <v>34</v>
      </c>
      <c r="C1673" s="4" t="str">
        <f>"胡青"</f>
        <v>胡青</v>
      </c>
      <c r="D1673" s="4" t="str">
        <f>"2021012713"</f>
        <v>2021012713</v>
      </c>
      <c r="E1673" s="4" t="str">
        <f>"27"</f>
        <v>27</v>
      </c>
      <c r="F1673" s="4" t="str">
        <f>"13"</f>
        <v>13</v>
      </c>
      <c r="G1673" s="4" t="s">
        <v>12</v>
      </c>
      <c r="H1673" s="5">
        <v>62.5</v>
      </c>
      <c r="I1673" s="4"/>
      <c r="J1673" s="4">
        <f>SUMPRODUCT(--((A1673=$A$3:$A$2785)*$H$3:$H$2785&gt;H1673))+1</f>
        <v>50</v>
      </c>
    </row>
    <row r="1674" s="1" customFormat="true" customHeight="true" spans="1:10">
      <c r="A1674" s="4" t="str">
        <f t="shared" si="193"/>
        <v>022</v>
      </c>
      <c r="B1674" s="4" t="s">
        <v>34</v>
      </c>
      <c r="C1674" s="4" t="str">
        <f>"黎毓"</f>
        <v>黎毓</v>
      </c>
      <c r="D1674" s="4" t="str">
        <f>"2021013309"</f>
        <v>2021013309</v>
      </c>
      <c r="E1674" s="4" t="str">
        <f>"33"</f>
        <v>33</v>
      </c>
      <c r="F1674" s="4" t="str">
        <f>"09"</f>
        <v>09</v>
      </c>
      <c r="G1674" s="4" t="s">
        <v>12</v>
      </c>
      <c r="H1674" s="5">
        <v>62.5</v>
      </c>
      <c r="I1674" s="4"/>
      <c r="J1674" s="4">
        <f>SUMPRODUCT(--((A1674=$A$3:$A$2785)*$H$3:$H$2785&gt;H1674))+1</f>
        <v>50</v>
      </c>
    </row>
    <row r="1675" s="1" customFormat="true" customHeight="true" spans="1:10">
      <c r="A1675" s="4" t="str">
        <f t="shared" si="193"/>
        <v>022</v>
      </c>
      <c r="B1675" s="4" t="s">
        <v>34</v>
      </c>
      <c r="C1675" s="4" t="str">
        <f>"颜锐"</f>
        <v>颜锐</v>
      </c>
      <c r="D1675" s="4" t="str">
        <f>"2021013113"</f>
        <v>2021013113</v>
      </c>
      <c r="E1675" s="4" t="str">
        <f>"31"</f>
        <v>31</v>
      </c>
      <c r="F1675" s="4" t="str">
        <f>"13"</f>
        <v>13</v>
      </c>
      <c r="G1675" s="4" t="s">
        <v>12</v>
      </c>
      <c r="H1675" s="5">
        <v>62</v>
      </c>
      <c r="I1675" s="4"/>
      <c r="J1675" s="4">
        <f>SUMPRODUCT(--((A1675=$A$3:$A$2785)*$H$3:$H$2785&gt;H1675))+1</f>
        <v>53</v>
      </c>
    </row>
    <row r="1676" s="1" customFormat="true" customHeight="true" spans="1:10">
      <c r="A1676" s="4" t="str">
        <f t="shared" si="193"/>
        <v>022</v>
      </c>
      <c r="B1676" s="4" t="s">
        <v>34</v>
      </c>
      <c r="C1676" s="4" t="str">
        <f>"陶智"</f>
        <v>陶智</v>
      </c>
      <c r="D1676" s="4" t="str">
        <f>"2021012615"</f>
        <v>2021012615</v>
      </c>
      <c r="E1676" s="4" t="str">
        <f t="shared" ref="E1676:E1681" si="196">"26"</f>
        <v>26</v>
      </c>
      <c r="F1676" s="4" t="str">
        <f>"15"</f>
        <v>15</v>
      </c>
      <c r="G1676" s="4" t="s">
        <v>12</v>
      </c>
      <c r="H1676" s="5">
        <v>61.75</v>
      </c>
      <c r="I1676" s="4"/>
      <c r="J1676" s="4">
        <f>SUMPRODUCT(--((A1676=$A$3:$A$2785)*$H$3:$H$2785&gt;H1676))+1</f>
        <v>54</v>
      </c>
    </row>
    <row r="1677" s="1" customFormat="true" customHeight="true" spans="1:10">
      <c r="A1677" s="4" t="str">
        <f t="shared" si="193"/>
        <v>022</v>
      </c>
      <c r="B1677" s="4" t="s">
        <v>34</v>
      </c>
      <c r="C1677" s="4" t="str">
        <f>"徐梦琳"</f>
        <v>徐梦琳</v>
      </c>
      <c r="D1677" s="4" t="str">
        <f>"2021012618"</f>
        <v>2021012618</v>
      </c>
      <c r="E1677" s="4" t="str">
        <f t="shared" si="196"/>
        <v>26</v>
      </c>
      <c r="F1677" s="4" t="str">
        <f>"18"</f>
        <v>18</v>
      </c>
      <c r="G1677" s="4" t="s">
        <v>12</v>
      </c>
      <c r="H1677" s="5">
        <v>61.5</v>
      </c>
      <c r="I1677" s="4"/>
      <c r="J1677" s="4">
        <f>SUMPRODUCT(--((A1677=$A$3:$A$2785)*$H$3:$H$2785&gt;H1677))+1</f>
        <v>55</v>
      </c>
    </row>
    <row r="1678" s="1" customFormat="true" customHeight="true" spans="1:10">
      <c r="A1678" s="4" t="str">
        <f t="shared" si="193"/>
        <v>022</v>
      </c>
      <c r="B1678" s="4" t="s">
        <v>34</v>
      </c>
      <c r="C1678" s="4" t="str">
        <f>"马红"</f>
        <v>马红</v>
      </c>
      <c r="D1678" s="4" t="str">
        <f>"2021013018"</f>
        <v>2021013018</v>
      </c>
      <c r="E1678" s="4" t="str">
        <f>"30"</f>
        <v>30</v>
      </c>
      <c r="F1678" s="4" t="str">
        <f>"18"</f>
        <v>18</v>
      </c>
      <c r="G1678" s="4" t="s">
        <v>12</v>
      </c>
      <c r="H1678" s="5">
        <v>61.5</v>
      </c>
      <c r="I1678" s="4"/>
      <c r="J1678" s="4">
        <f>SUMPRODUCT(--((A1678=$A$3:$A$2785)*$H$3:$H$2785&gt;H1678))+1</f>
        <v>55</v>
      </c>
    </row>
    <row r="1679" s="1" customFormat="true" customHeight="true" spans="1:10">
      <c r="A1679" s="4" t="str">
        <f t="shared" si="193"/>
        <v>022</v>
      </c>
      <c r="B1679" s="4" t="s">
        <v>34</v>
      </c>
      <c r="C1679" s="4" t="str">
        <f>"陆豆"</f>
        <v>陆豆</v>
      </c>
      <c r="D1679" s="4" t="str">
        <f>"2021013122"</f>
        <v>2021013122</v>
      </c>
      <c r="E1679" s="4" t="str">
        <f>"31"</f>
        <v>31</v>
      </c>
      <c r="F1679" s="4" t="str">
        <f>"22"</f>
        <v>22</v>
      </c>
      <c r="G1679" s="4" t="s">
        <v>12</v>
      </c>
      <c r="H1679" s="5">
        <v>61.5</v>
      </c>
      <c r="I1679" s="4"/>
      <c r="J1679" s="4">
        <f>SUMPRODUCT(--((A1679=$A$3:$A$2785)*$H$3:$H$2785&gt;H1679))+1</f>
        <v>55</v>
      </c>
    </row>
    <row r="1680" s="1" customFormat="true" customHeight="true" spans="1:10">
      <c r="A1680" s="4" t="str">
        <f t="shared" si="193"/>
        <v>022</v>
      </c>
      <c r="B1680" s="4" t="s">
        <v>34</v>
      </c>
      <c r="C1680" s="4" t="str">
        <f>"郑慧雯"</f>
        <v>郑慧雯</v>
      </c>
      <c r="D1680" s="4" t="str">
        <f>"2021012521"</f>
        <v>2021012521</v>
      </c>
      <c r="E1680" s="4" t="str">
        <f>"25"</f>
        <v>25</v>
      </c>
      <c r="F1680" s="4" t="str">
        <f>"21"</f>
        <v>21</v>
      </c>
      <c r="G1680" s="4" t="s">
        <v>12</v>
      </c>
      <c r="H1680" s="5">
        <v>60.75</v>
      </c>
      <c r="I1680" s="4"/>
      <c r="J1680" s="4">
        <f>SUMPRODUCT(--((A1680=$A$3:$A$2785)*$H$3:$H$2785&gt;H1680))+1</f>
        <v>58</v>
      </c>
    </row>
    <row r="1681" s="1" customFormat="true" customHeight="true" spans="1:10">
      <c r="A1681" s="4" t="str">
        <f t="shared" si="193"/>
        <v>022</v>
      </c>
      <c r="B1681" s="4" t="s">
        <v>34</v>
      </c>
      <c r="C1681" s="4" t="str">
        <f>"彭春燕"</f>
        <v>彭春燕</v>
      </c>
      <c r="D1681" s="4" t="str">
        <f>"2021012603"</f>
        <v>2021012603</v>
      </c>
      <c r="E1681" s="4" t="str">
        <f t="shared" si="196"/>
        <v>26</v>
      </c>
      <c r="F1681" s="4" t="str">
        <f>"03"</f>
        <v>03</v>
      </c>
      <c r="G1681" s="4" t="s">
        <v>12</v>
      </c>
      <c r="H1681" s="5">
        <v>60.75</v>
      </c>
      <c r="I1681" s="4"/>
      <c r="J1681" s="4">
        <f>SUMPRODUCT(--((A1681=$A$3:$A$2785)*$H$3:$H$2785&gt;H1681))+1</f>
        <v>58</v>
      </c>
    </row>
    <row r="1682" s="1" customFormat="true" customHeight="true" spans="1:10">
      <c r="A1682" s="4" t="str">
        <f t="shared" si="193"/>
        <v>022</v>
      </c>
      <c r="B1682" s="4" t="s">
        <v>34</v>
      </c>
      <c r="C1682" s="4" t="str">
        <f>"王乐洋"</f>
        <v>王乐洋</v>
      </c>
      <c r="D1682" s="4" t="str">
        <f>"2021012522"</f>
        <v>2021012522</v>
      </c>
      <c r="E1682" s="4" t="str">
        <f>"25"</f>
        <v>25</v>
      </c>
      <c r="F1682" s="4" t="str">
        <f>"22"</f>
        <v>22</v>
      </c>
      <c r="G1682" s="4" t="s">
        <v>12</v>
      </c>
      <c r="H1682" s="5">
        <v>60.5</v>
      </c>
      <c r="I1682" s="4"/>
      <c r="J1682" s="4">
        <f>SUMPRODUCT(--((A1682=$A$3:$A$2785)*$H$3:$H$2785&gt;H1682))+1</f>
        <v>60</v>
      </c>
    </row>
    <row r="1683" s="1" customFormat="true" customHeight="true" spans="1:10">
      <c r="A1683" s="4" t="str">
        <f t="shared" si="193"/>
        <v>022</v>
      </c>
      <c r="B1683" s="4" t="s">
        <v>34</v>
      </c>
      <c r="C1683" s="4" t="str">
        <f>"杨清权"</f>
        <v>杨清权</v>
      </c>
      <c r="D1683" s="4" t="str">
        <f>"2021012801"</f>
        <v>2021012801</v>
      </c>
      <c r="E1683" s="4" t="str">
        <f>"28"</f>
        <v>28</v>
      </c>
      <c r="F1683" s="4" t="str">
        <f>"01"</f>
        <v>01</v>
      </c>
      <c r="G1683" s="4" t="s">
        <v>12</v>
      </c>
      <c r="H1683" s="5">
        <v>60.5</v>
      </c>
      <c r="I1683" s="4"/>
      <c r="J1683" s="4">
        <f>SUMPRODUCT(--((A1683=$A$3:$A$2785)*$H$3:$H$2785&gt;H1683))+1</f>
        <v>60</v>
      </c>
    </row>
    <row r="1684" s="1" customFormat="true" customHeight="true" spans="1:10">
      <c r="A1684" s="4" t="str">
        <f t="shared" si="193"/>
        <v>022</v>
      </c>
      <c r="B1684" s="4" t="s">
        <v>34</v>
      </c>
      <c r="C1684" s="4" t="str">
        <f>"丁静"</f>
        <v>丁静</v>
      </c>
      <c r="D1684" s="4" t="str">
        <f>"2021013025"</f>
        <v>2021013025</v>
      </c>
      <c r="E1684" s="4" t="str">
        <f>"30"</f>
        <v>30</v>
      </c>
      <c r="F1684" s="4" t="str">
        <f>"25"</f>
        <v>25</v>
      </c>
      <c r="G1684" s="4" t="s">
        <v>12</v>
      </c>
      <c r="H1684" s="5">
        <v>60.5</v>
      </c>
      <c r="I1684" s="4"/>
      <c r="J1684" s="4">
        <f>SUMPRODUCT(--((A1684=$A$3:$A$2785)*$H$3:$H$2785&gt;H1684))+1</f>
        <v>60</v>
      </c>
    </row>
    <row r="1685" s="1" customFormat="true" customHeight="true" spans="1:10">
      <c r="A1685" s="4" t="str">
        <f t="shared" si="193"/>
        <v>022</v>
      </c>
      <c r="B1685" s="4" t="s">
        <v>34</v>
      </c>
      <c r="C1685" s="4" t="str">
        <f>"罗士洁"</f>
        <v>罗士洁</v>
      </c>
      <c r="D1685" s="4" t="str">
        <f>"2021013203"</f>
        <v>2021013203</v>
      </c>
      <c r="E1685" s="4" t="str">
        <f t="shared" ref="E1685:E1690" si="197">"32"</f>
        <v>32</v>
      </c>
      <c r="F1685" s="4" t="str">
        <f>"03"</f>
        <v>03</v>
      </c>
      <c r="G1685" s="4" t="s">
        <v>12</v>
      </c>
      <c r="H1685" s="5">
        <v>60.25</v>
      </c>
      <c r="I1685" s="4"/>
      <c r="J1685" s="4">
        <f>SUMPRODUCT(--((A1685=$A$3:$A$2785)*$H$3:$H$2785&gt;H1685))+1</f>
        <v>63</v>
      </c>
    </row>
    <row r="1686" s="1" customFormat="true" customHeight="true" spans="1:10">
      <c r="A1686" s="4" t="str">
        <f t="shared" si="193"/>
        <v>022</v>
      </c>
      <c r="B1686" s="4" t="s">
        <v>34</v>
      </c>
      <c r="C1686" s="4" t="str">
        <f>"李晶玲"</f>
        <v>李晶玲</v>
      </c>
      <c r="D1686" s="4" t="str">
        <f>"2021013210"</f>
        <v>2021013210</v>
      </c>
      <c r="E1686" s="4" t="str">
        <f t="shared" si="197"/>
        <v>32</v>
      </c>
      <c r="F1686" s="4" t="str">
        <f>"10"</f>
        <v>10</v>
      </c>
      <c r="G1686" s="4" t="s">
        <v>12</v>
      </c>
      <c r="H1686" s="5">
        <v>60.25</v>
      </c>
      <c r="I1686" s="4"/>
      <c r="J1686" s="4">
        <f>SUMPRODUCT(--((A1686=$A$3:$A$2785)*$H$3:$H$2785&gt;H1686))+1</f>
        <v>63</v>
      </c>
    </row>
    <row r="1687" s="1" customFormat="true" customHeight="true" spans="1:10">
      <c r="A1687" s="4" t="str">
        <f t="shared" ref="A1687:A1750" si="198">"022"</f>
        <v>022</v>
      </c>
      <c r="B1687" s="4" t="s">
        <v>34</v>
      </c>
      <c r="C1687" s="4" t="str">
        <f>"彭晓月"</f>
        <v>彭晓月</v>
      </c>
      <c r="D1687" s="4" t="str">
        <f>"2021013318"</f>
        <v>2021013318</v>
      </c>
      <c r="E1687" s="4" t="str">
        <f t="shared" ref="E1687:E1691" si="199">"33"</f>
        <v>33</v>
      </c>
      <c r="F1687" s="4" t="str">
        <f>"18"</f>
        <v>18</v>
      </c>
      <c r="G1687" s="4" t="s">
        <v>12</v>
      </c>
      <c r="H1687" s="5">
        <v>59.75</v>
      </c>
      <c r="I1687" s="4"/>
      <c r="J1687" s="4">
        <f>SUMPRODUCT(--((A1687=$A$3:$A$2785)*$H$3:$H$2785&gt;H1687))+1</f>
        <v>65</v>
      </c>
    </row>
    <row r="1688" s="1" customFormat="true" customHeight="true" spans="1:10">
      <c r="A1688" s="4" t="str">
        <f t="shared" si="198"/>
        <v>022</v>
      </c>
      <c r="B1688" s="4" t="s">
        <v>34</v>
      </c>
      <c r="C1688" s="4" t="str">
        <f>"韦茏芳"</f>
        <v>韦茏芳</v>
      </c>
      <c r="D1688" s="4" t="str">
        <f>"2021013304"</f>
        <v>2021013304</v>
      </c>
      <c r="E1688" s="4" t="str">
        <f t="shared" si="199"/>
        <v>33</v>
      </c>
      <c r="F1688" s="4" t="str">
        <f>"04"</f>
        <v>04</v>
      </c>
      <c r="G1688" s="4" t="s">
        <v>12</v>
      </c>
      <c r="H1688" s="5">
        <v>59</v>
      </c>
      <c r="I1688" s="4"/>
      <c r="J1688" s="4">
        <f>SUMPRODUCT(--((A1688=$A$3:$A$2785)*$H$3:$H$2785&gt;H1688))+1</f>
        <v>66</v>
      </c>
    </row>
    <row r="1689" s="1" customFormat="true" customHeight="true" spans="1:10">
      <c r="A1689" s="4" t="str">
        <f t="shared" si="198"/>
        <v>022</v>
      </c>
      <c r="B1689" s="4" t="s">
        <v>34</v>
      </c>
      <c r="C1689" s="4" t="str">
        <f>"姜长伟"</f>
        <v>姜长伟</v>
      </c>
      <c r="D1689" s="4" t="str">
        <f>"2021012723"</f>
        <v>2021012723</v>
      </c>
      <c r="E1689" s="4" t="str">
        <f>"27"</f>
        <v>27</v>
      </c>
      <c r="F1689" s="4" t="str">
        <f>"23"</f>
        <v>23</v>
      </c>
      <c r="G1689" s="4" t="s">
        <v>12</v>
      </c>
      <c r="H1689" s="5">
        <v>58.75</v>
      </c>
      <c r="I1689" s="4"/>
      <c r="J1689" s="4">
        <f>SUMPRODUCT(--((A1689=$A$3:$A$2785)*$H$3:$H$2785&gt;H1689))+1</f>
        <v>67</v>
      </c>
    </row>
    <row r="1690" s="1" customFormat="true" customHeight="true" spans="1:10">
      <c r="A1690" s="4" t="str">
        <f t="shared" si="198"/>
        <v>022</v>
      </c>
      <c r="B1690" s="4" t="s">
        <v>34</v>
      </c>
      <c r="C1690" s="4" t="str">
        <f>"梁春艳"</f>
        <v>梁春艳</v>
      </c>
      <c r="D1690" s="4" t="str">
        <f>"2021013209"</f>
        <v>2021013209</v>
      </c>
      <c r="E1690" s="4" t="str">
        <f t="shared" si="197"/>
        <v>32</v>
      </c>
      <c r="F1690" s="4" t="str">
        <f>"09"</f>
        <v>09</v>
      </c>
      <c r="G1690" s="4" t="s">
        <v>12</v>
      </c>
      <c r="H1690" s="5">
        <v>58.5</v>
      </c>
      <c r="I1690" s="4"/>
      <c r="J1690" s="4">
        <f>SUMPRODUCT(--((A1690=$A$3:$A$2785)*$H$3:$H$2785&gt;H1690))+1</f>
        <v>68</v>
      </c>
    </row>
    <row r="1691" s="1" customFormat="true" customHeight="true" spans="1:10">
      <c r="A1691" s="4" t="str">
        <f t="shared" si="198"/>
        <v>022</v>
      </c>
      <c r="B1691" s="4" t="s">
        <v>34</v>
      </c>
      <c r="C1691" s="4" t="str">
        <f>"杨骏芳"</f>
        <v>杨骏芳</v>
      </c>
      <c r="D1691" s="4" t="str">
        <f>"2021013316"</f>
        <v>2021013316</v>
      </c>
      <c r="E1691" s="4" t="str">
        <f t="shared" si="199"/>
        <v>33</v>
      </c>
      <c r="F1691" s="4" t="str">
        <f>"16"</f>
        <v>16</v>
      </c>
      <c r="G1691" s="4" t="s">
        <v>12</v>
      </c>
      <c r="H1691" s="5">
        <v>58.5</v>
      </c>
      <c r="I1691" s="4"/>
      <c r="J1691" s="4">
        <f>SUMPRODUCT(--((A1691=$A$3:$A$2785)*$H$3:$H$2785&gt;H1691))+1</f>
        <v>68</v>
      </c>
    </row>
    <row r="1692" s="1" customFormat="true" customHeight="true" spans="1:10">
      <c r="A1692" s="4" t="str">
        <f t="shared" si="198"/>
        <v>022</v>
      </c>
      <c r="B1692" s="4" t="s">
        <v>34</v>
      </c>
      <c r="C1692" s="4" t="str">
        <f>"周明凤"</f>
        <v>周明凤</v>
      </c>
      <c r="D1692" s="4" t="str">
        <f>"2021012610"</f>
        <v>2021012610</v>
      </c>
      <c r="E1692" s="4" t="str">
        <f>"26"</f>
        <v>26</v>
      </c>
      <c r="F1692" s="4" t="str">
        <f>"10"</f>
        <v>10</v>
      </c>
      <c r="G1692" s="4" t="s">
        <v>12</v>
      </c>
      <c r="H1692" s="5">
        <v>58</v>
      </c>
      <c r="I1692" s="4"/>
      <c r="J1692" s="4">
        <f>SUMPRODUCT(--((A1692=$A$3:$A$2785)*$H$3:$H$2785&gt;H1692))+1</f>
        <v>70</v>
      </c>
    </row>
    <row r="1693" s="1" customFormat="true" customHeight="true" spans="1:10">
      <c r="A1693" s="4" t="str">
        <f t="shared" si="198"/>
        <v>022</v>
      </c>
      <c r="B1693" s="4" t="s">
        <v>34</v>
      </c>
      <c r="C1693" s="4" t="str">
        <f>"龙苗"</f>
        <v>龙苗</v>
      </c>
      <c r="D1693" s="4" t="str">
        <f>"2021013230"</f>
        <v>2021013230</v>
      </c>
      <c r="E1693" s="4" t="str">
        <f t="shared" ref="E1693:E1698" si="200">"32"</f>
        <v>32</v>
      </c>
      <c r="F1693" s="4" t="str">
        <f>"30"</f>
        <v>30</v>
      </c>
      <c r="G1693" s="4" t="s">
        <v>12</v>
      </c>
      <c r="H1693" s="5">
        <v>57.75</v>
      </c>
      <c r="I1693" s="4"/>
      <c r="J1693" s="4">
        <f>SUMPRODUCT(--((A1693=$A$3:$A$2785)*$H$3:$H$2785&gt;H1693))+1</f>
        <v>71</v>
      </c>
    </row>
    <row r="1694" s="1" customFormat="true" customHeight="true" spans="1:10">
      <c r="A1694" s="4" t="str">
        <f t="shared" si="198"/>
        <v>022</v>
      </c>
      <c r="B1694" s="4" t="s">
        <v>34</v>
      </c>
      <c r="C1694" s="4" t="str">
        <f>"李婧"</f>
        <v>李婧</v>
      </c>
      <c r="D1694" s="4" t="str">
        <f>"2021013314"</f>
        <v>2021013314</v>
      </c>
      <c r="E1694" s="4" t="str">
        <f>"33"</f>
        <v>33</v>
      </c>
      <c r="F1694" s="4" t="str">
        <f>"14"</f>
        <v>14</v>
      </c>
      <c r="G1694" s="4" t="s">
        <v>12</v>
      </c>
      <c r="H1694" s="5">
        <v>57.75</v>
      </c>
      <c r="I1694" s="4"/>
      <c r="J1694" s="4">
        <f>SUMPRODUCT(--((A1694=$A$3:$A$2785)*$H$3:$H$2785&gt;H1694))+1</f>
        <v>71</v>
      </c>
    </row>
    <row r="1695" s="1" customFormat="true" customHeight="true" spans="1:10">
      <c r="A1695" s="4" t="str">
        <f t="shared" si="198"/>
        <v>022</v>
      </c>
      <c r="B1695" s="4" t="s">
        <v>34</v>
      </c>
      <c r="C1695" s="4" t="str">
        <f>"向欢欢"</f>
        <v>向欢欢</v>
      </c>
      <c r="D1695" s="4" t="str">
        <f>"2021012913"</f>
        <v>2021012913</v>
      </c>
      <c r="E1695" s="4" t="str">
        <f>"29"</f>
        <v>29</v>
      </c>
      <c r="F1695" s="4" t="str">
        <f>"13"</f>
        <v>13</v>
      </c>
      <c r="G1695" s="4" t="s">
        <v>12</v>
      </c>
      <c r="H1695" s="5">
        <v>57.5</v>
      </c>
      <c r="I1695" s="4"/>
      <c r="J1695" s="4">
        <f>SUMPRODUCT(--((A1695=$A$3:$A$2785)*$H$3:$H$2785&gt;H1695))+1</f>
        <v>73</v>
      </c>
    </row>
    <row r="1696" s="1" customFormat="true" customHeight="true" spans="1:10">
      <c r="A1696" s="4" t="str">
        <f t="shared" si="198"/>
        <v>022</v>
      </c>
      <c r="B1696" s="4" t="s">
        <v>34</v>
      </c>
      <c r="C1696" s="4" t="str">
        <f>"莫雯霞"</f>
        <v>莫雯霞</v>
      </c>
      <c r="D1696" s="4" t="str">
        <f>"2021013023"</f>
        <v>2021013023</v>
      </c>
      <c r="E1696" s="4" t="str">
        <f>"30"</f>
        <v>30</v>
      </c>
      <c r="F1696" s="4" t="str">
        <f>"23"</f>
        <v>23</v>
      </c>
      <c r="G1696" s="4" t="s">
        <v>12</v>
      </c>
      <c r="H1696" s="5">
        <v>57.5</v>
      </c>
      <c r="I1696" s="4"/>
      <c r="J1696" s="4">
        <f>SUMPRODUCT(--((A1696=$A$3:$A$2785)*$H$3:$H$2785&gt;H1696))+1</f>
        <v>73</v>
      </c>
    </row>
    <row r="1697" s="1" customFormat="true" customHeight="true" spans="1:10">
      <c r="A1697" s="4" t="str">
        <f t="shared" si="198"/>
        <v>022</v>
      </c>
      <c r="B1697" s="4" t="s">
        <v>34</v>
      </c>
      <c r="C1697" s="4" t="str">
        <f>"张竹"</f>
        <v>张竹</v>
      </c>
      <c r="D1697" s="4" t="str">
        <f>"2021013211"</f>
        <v>2021013211</v>
      </c>
      <c r="E1697" s="4" t="str">
        <f t="shared" si="200"/>
        <v>32</v>
      </c>
      <c r="F1697" s="4" t="str">
        <f>"11"</f>
        <v>11</v>
      </c>
      <c r="G1697" s="4" t="s">
        <v>12</v>
      </c>
      <c r="H1697" s="5">
        <v>57</v>
      </c>
      <c r="I1697" s="4"/>
      <c r="J1697" s="4">
        <f>SUMPRODUCT(--((A1697=$A$3:$A$2785)*$H$3:$H$2785&gt;H1697))+1</f>
        <v>75</v>
      </c>
    </row>
    <row r="1698" s="1" customFormat="true" customHeight="true" spans="1:10">
      <c r="A1698" s="4" t="str">
        <f t="shared" si="198"/>
        <v>022</v>
      </c>
      <c r="B1698" s="4" t="s">
        <v>34</v>
      </c>
      <c r="C1698" s="4" t="str">
        <f>"杨芙蓉"</f>
        <v>杨芙蓉</v>
      </c>
      <c r="D1698" s="4" t="str">
        <f>"2021013221"</f>
        <v>2021013221</v>
      </c>
      <c r="E1698" s="4" t="str">
        <f t="shared" si="200"/>
        <v>32</v>
      </c>
      <c r="F1698" s="4" t="str">
        <f>"21"</f>
        <v>21</v>
      </c>
      <c r="G1698" s="4" t="s">
        <v>12</v>
      </c>
      <c r="H1698" s="5">
        <v>57</v>
      </c>
      <c r="I1698" s="4"/>
      <c r="J1698" s="4">
        <f>SUMPRODUCT(--((A1698=$A$3:$A$2785)*$H$3:$H$2785&gt;H1698))+1</f>
        <v>75</v>
      </c>
    </row>
    <row r="1699" s="1" customFormat="true" customHeight="true" spans="1:10">
      <c r="A1699" s="4" t="str">
        <f t="shared" si="198"/>
        <v>022</v>
      </c>
      <c r="B1699" s="4" t="s">
        <v>34</v>
      </c>
      <c r="C1699" s="4" t="str">
        <f>"陈佳雪"</f>
        <v>陈佳雪</v>
      </c>
      <c r="D1699" s="4" t="str">
        <f>"2021012625"</f>
        <v>2021012625</v>
      </c>
      <c r="E1699" s="4" t="str">
        <f>"26"</f>
        <v>26</v>
      </c>
      <c r="F1699" s="4" t="str">
        <f>"25"</f>
        <v>25</v>
      </c>
      <c r="G1699" s="4" t="s">
        <v>12</v>
      </c>
      <c r="H1699" s="5">
        <v>56.5</v>
      </c>
      <c r="I1699" s="4"/>
      <c r="J1699" s="4">
        <f>SUMPRODUCT(--((A1699=$A$3:$A$2785)*$H$3:$H$2785&gt;H1699))+1</f>
        <v>77</v>
      </c>
    </row>
    <row r="1700" s="1" customFormat="true" customHeight="true" spans="1:10">
      <c r="A1700" s="4" t="str">
        <f t="shared" si="198"/>
        <v>022</v>
      </c>
      <c r="B1700" s="4" t="s">
        <v>34</v>
      </c>
      <c r="C1700" s="4" t="str">
        <f>"杨娜美嘉"</f>
        <v>杨娜美嘉</v>
      </c>
      <c r="D1700" s="4" t="str">
        <f>"2021012520"</f>
        <v>2021012520</v>
      </c>
      <c r="E1700" s="4" t="str">
        <f>"25"</f>
        <v>25</v>
      </c>
      <c r="F1700" s="4" t="str">
        <f>"20"</f>
        <v>20</v>
      </c>
      <c r="G1700" s="4" t="s">
        <v>12</v>
      </c>
      <c r="H1700" s="5">
        <v>56.25</v>
      </c>
      <c r="I1700" s="4"/>
      <c r="J1700" s="4">
        <f>SUMPRODUCT(--((A1700=$A$3:$A$2785)*$H$3:$H$2785&gt;H1700))+1</f>
        <v>78</v>
      </c>
    </row>
    <row r="1701" s="1" customFormat="true" customHeight="true" spans="1:10">
      <c r="A1701" s="4" t="str">
        <f t="shared" si="198"/>
        <v>022</v>
      </c>
      <c r="B1701" s="4" t="s">
        <v>34</v>
      </c>
      <c r="C1701" s="4" t="str">
        <f>"邓昕妍"</f>
        <v>邓昕妍</v>
      </c>
      <c r="D1701" s="4" t="str">
        <f>"2021012614"</f>
        <v>2021012614</v>
      </c>
      <c r="E1701" s="4" t="str">
        <f>"26"</f>
        <v>26</v>
      </c>
      <c r="F1701" s="4" t="str">
        <f>"14"</f>
        <v>14</v>
      </c>
      <c r="G1701" s="4" t="s">
        <v>12</v>
      </c>
      <c r="H1701" s="5">
        <v>56</v>
      </c>
      <c r="I1701" s="4"/>
      <c r="J1701" s="4">
        <f>SUMPRODUCT(--((A1701=$A$3:$A$2785)*$H$3:$H$2785&gt;H1701))+1</f>
        <v>79</v>
      </c>
    </row>
    <row r="1702" s="1" customFormat="true" customHeight="true" spans="1:10">
      <c r="A1702" s="4" t="str">
        <f t="shared" si="198"/>
        <v>022</v>
      </c>
      <c r="B1702" s="4" t="s">
        <v>34</v>
      </c>
      <c r="C1702" s="4" t="str">
        <f>"甘燕华"</f>
        <v>甘燕华</v>
      </c>
      <c r="D1702" s="4" t="str">
        <f>"2021013310"</f>
        <v>2021013310</v>
      </c>
      <c r="E1702" s="4" t="str">
        <f>"33"</f>
        <v>33</v>
      </c>
      <c r="F1702" s="4" t="str">
        <f>"10"</f>
        <v>10</v>
      </c>
      <c r="G1702" s="4" t="s">
        <v>12</v>
      </c>
      <c r="H1702" s="5">
        <v>56</v>
      </c>
      <c r="I1702" s="4"/>
      <c r="J1702" s="4">
        <f>SUMPRODUCT(--((A1702=$A$3:$A$2785)*$H$3:$H$2785&gt;H1702))+1</f>
        <v>79</v>
      </c>
    </row>
    <row r="1703" s="1" customFormat="true" customHeight="true" spans="1:10">
      <c r="A1703" s="4" t="str">
        <f t="shared" si="198"/>
        <v>022</v>
      </c>
      <c r="B1703" s="4" t="s">
        <v>34</v>
      </c>
      <c r="C1703" s="4" t="str">
        <f>"欧玉琴"</f>
        <v>欧玉琴</v>
      </c>
      <c r="D1703" s="4" t="str">
        <f>"2021013016"</f>
        <v>2021013016</v>
      </c>
      <c r="E1703" s="4" t="str">
        <f>"30"</f>
        <v>30</v>
      </c>
      <c r="F1703" s="4" t="str">
        <f>"16"</f>
        <v>16</v>
      </c>
      <c r="G1703" s="4" t="s">
        <v>12</v>
      </c>
      <c r="H1703" s="5">
        <v>55.75</v>
      </c>
      <c r="I1703" s="4"/>
      <c r="J1703" s="4">
        <f>SUMPRODUCT(--((A1703=$A$3:$A$2785)*$H$3:$H$2785&gt;H1703))+1</f>
        <v>81</v>
      </c>
    </row>
    <row r="1704" s="1" customFormat="true" customHeight="true" spans="1:10">
      <c r="A1704" s="4" t="str">
        <f t="shared" si="198"/>
        <v>022</v>
      </c>
      <c r="B1704" s="4" t="s">
        <v>34</v>
      </c>
      <c r="C1704" s="4" t="str">
        <f>"贺宇平"</f>
        <v>贺宇平</v>
      </c>
      <c r="D1704" s="4" t="str">
        <f>"2021013227"</f>
        <v>2021013227</v>
      </c>
      <c r="E1704" s="4" t="str">
        <f>"32"</f>
        <v>32</v>
      </c>
      <c r="F1704" s="4" t="str">
        <f>"27"</f>
        <v>27</v>
      </c>
      <c r="G1704" s="4" t="s">
        <v>12</v>
      </c>
      <c r="H1704" s="5">
        <v>55.75</v>
      </c>
      <c r="I1704" s="4"/>
      <c r="J1704" s="4">
        <f>SUMPRODUCT(--((A1704=$A$3:$A$2785)*$H$3:$H$2785&gt;H1704))+1</f>
        <v>81</v>
      </c>
    </row>
    <row r="1705" s="1" customFormat="true" customHeight="true" spans="1:10">
      <c r="A1705" s="4" t="str">
        <f t="shared" si="198"/>
        <v>022</v>
      </c>
      <c r="B1705" s="4" t="s">
        <v>34</v>
      </c>
      <c r="C1705" s="4" t="str">
        <f>"张贤"</f>
        <v>张贤</v>
      </c>
      <c r="D1705" s="4" t="str">
        <f>"2021013121"</f>
        <v>2021013121</v>
      </c>
      <c r="E1705" s="4" t="str">
        <f>"31"</f>
        <v>31</v>
      </c>
      <c r="F1705" s="4" t="str">
        <f>"21"</f>
        <v>21</v>
      </c>
      <c r="G1705" s="4" t="s">
        <v>12</v>
      </c>
      <c r="H1705" s="5">
        <v>55</v>
      </c>
      <c r="I1705" s="4"/>
      <c r="J1705" s="4">
        <f>SUMPRODUCT(--((A1705=$A$3:$A$2785)*$H$3:$H$2785&gt;H1705))+1</f>
        <v>83</v>
      </c>
    </row>
    <row r="1706" s="1" customFormat="true" customHeight="true" spans="1:10">
      <c r="A1706" s="4" t="str">
        <f t="shared" si="198"/>
        <v>022</v>
      </c>
      <c r="B1706" s="4" t="s">
        <v>34</v>
      </c>
      <c r="C1706" s="4" t="str">
        <f>"周红莲"</f>
        <v>周红莲</v>
      </c>
      <c r="D1706" s="4" t="str">
        <f>"2021012529"</f>
        <v>2021012529</v>
      </c>
      <c r="E1706" s="4" t="str">
        <f>"25"</f>
        <v>25</v>
      </c>
      <c r="F1706" s="4" t="str">
        <f>"29"</f>
        <v>29</v>
      </c>
      <c r="G1706" s="4" t="s">
        <v>12</v>
      </c>
      <c r="H1706" s="5">
        <v>54.75</v>
      </c>
      <c r="I1706" s="4"/>
      <c r="J1706" s="4">
        <f>SUMPRODUCT(--((A1706=$A$3:$A$2785)*$H$3:$H$2785&gt;H1706))+1</f>
        <v>84</v>
      </c>
    </row>
    <row r="1707" s="1" customFormat="true" customHeight="true" spans="1:10">
      <c r="A1707" s="4" t="str">
        <f t="shared" si="198"/>
        <v>022</v>
      </c>
      <c r="B1707" s="4" t="s">
        <v>34</v>
      </c>
      <c r="C1707" s="4" t="str">
        <f>"宋周佳"</f>
        <v>宋周佳</v>
      </c>
      <c r="D1707" s="4" t="str">
        <f>"2021012706"</f>
        <v>2021012706</v>
      </c>
      <c r="E1707" s="4" t="str">
        <f>"27"</f>
        <v>27</v>
      </c>
      <c r="F1707" s="4" t="str">
        <f>"06"</f>
        <v>06</v>
      </c>
      <c r="G1707" s="4" t="s">
        <v>12</v>
      </c>
      <c r="H1707" s="5">
        <v>54.5</v>
      </c>
      <c r="I1707" s="4"/>
      <c r="J1707" s="4">
        <f>SUMPRODUCT(--((A1707=$A$3:$A$2785)*$H$3:$H$2785&gt;H1707))+1</f>
        <v>85</v>
      </c>
    </row>
    <row r="1708" s="1" customFormat="true" customHeight="true" spans="1:10">
      <c r="A1708" s="4" t="str">
        <f t="shared" si="198"/>
        <v>022</v>
      </c>
      <c r="B1708" s="4" t="s">
        <v>34</v>
      </c>
      <c r="C1708" s="4" t="str">
        <f>"张欣"</f>
        <v>张欣</v>
      </c>
      <c r="D1708" s="4" t="str">
        <f>"2021013010"</f>
        <v>2021013010</v>
      </c>
      <c r="E1708" s="4" t="str">
        <f>"30"</f>
        <v>30</v>
      </c>
      <c r="F1708" s="4" t="str">
        <f>"10"</f>
        <v>10</v>
      </c>
      <c r="G1708" s="4" t="s">
        <v>12</v>
      </c>
      <c r="H1708" s="5">
        <v>54.5</v>
      </c>
      <c r="I1708" s="4"/>
      <c r="J1708" s="4">
        <f>SUMPRODUCT(--((A1708=$A$3:$A$2785)*$H$3:$H$2785&gt;H1708))+1</f>
        <v>85</v>
      </c>
    </row>
    <row r="1709" s="1" customFormat="true" customHeight="true" spans="1:10">
      <c r="A1709" s="4" t="str">
        <f t="shared" si="198"/>
        <v>022</v>
      </c>
      <c r="B1709" s="4" t="s">
        <v>34</v>
      </c>
      <c r="C1709" s="4" t="str">
        <f>"张秀"</f>
        <v>张秀</v>
      </c>
      <c r="D1709" s="4" t="str">
        <f>"2021013009"</f>
        <v>2021013009</v>
      </c>
      <c r="E1709" s="4" t="str">
        <f>"30"</f>
        <v>30</v>
      </c>
      <c r="F1709" s="4" t="str">
        <f>"09"</f>
        <v>09</v>
      </c>
      <c r="G1709" s="4" t="s">
        <v>12</v>
      </c>
      <c r="H1709" s="5">
        <v>54.25</v>
      </c>
      <c r="I1709" s="4"/>
      <c r="J1709" s="4">
        <f>SUMPRODUCT(--((A1709=$A$3:$A$2785)*$H$3:$H$2785&gt;H1709))+1</f>
        <v>87</v>
      </c>
    </row>
    <row r="1710" s="1" customFormat="true" customHeight="true" spans="1:10">
      <c r="A1710" s="4" t="str">
        <f t="shared" si="198"/>
        <v>022</v>
      </c>
      <c r="B1710" s="4" t="s">
        <v>34</v>
      </c>
      <c r="C1710" s="4" t="str">
        <f>"孙夜仙"</f>
        <v>孙夜仙</v>
      </c>
      <c r="D1710" s="4" t="str">
        <f>"2021013104"</f>
        <v>2021013104</v>
      </c>
      <c r="E1710" s="4" t="str">
        <f>"31"</f>
        <v>31</v>
      </c>
      <c r="F1710" s="4" t="str">
        <f>"04"</f>
        <v>04</v>
      </c>
      <c r="G1710" s="4" t="s">
        <v>12</v>
      </c>
      <c r="H1710" s="5">
        <v>53.75</v>
      </c>
      <c r="I1710" s="4"/>
      <c r="J1710" s="4">
        <f>SUMPRODUCT(--((A1710=$A$3:$A$2785)*$H$3:$H$2785&gt;H1710))+1</f>
        <v>88</v>
      </c>
    </row>
    <row r="1711" s="1" customFormat="true" customHeight="true" spans="1:10">
      <c r="A1711" s="4" t="str">
        <f t="shared" si="198"/>
        <v>022</v>
      </c>
      <c r="B1711" s="4" t="s">
        <v>34</v>
      </c>
      <c r="C1711" s="4" t="str">
        <f>"万娟"</f>
        <v>万娟</v>
      </c>
      <c r="D1711" s="4" t="str">
        <f>"2021012901"</f>
        <v>2021012901</v>
      </c>
      <c r="E1711" s="4" t="str">
        <f>"29"</f>
        <v>29</v>
      </c>
      <c r="F1711" s="4" t="str">
        <f>"01"</f>
        <v>01</v>
      </c>
      <c r="G1711" s="4" t="s">
        <v>12</v>
      </c>
      <c r="H1711" s="5">
        <v>53.5</v>
      </c>
      <c r="I1711" s="4"/>
      <c r="J1711" s="4">
        <f>SUMPRODUCT(--((A1711=$A$3:$A$2785)*$H$3:$H$2785&gt;H1711))+1</f>
        <v>89</v>
      </c>
    </row>
    <row r="1712" s="1" customFormat="true" customHeight="true" spans="1:10">
      <c r="A1712" s="4" t="str">
        <f t="shared" si="198"/>
        <v>022</v>
      </c>
      <c r="B1712" s="4" t="s">
        <v>34</v>
      </c>
      <c r="C1712" s="4" t="str">
        <f>"潘文靓"</f>
        <v>潘文靓</v>
      </c>
      <c r="D1712" s="4" t="str">
        <f>"2021012612"</f>
        <v>2021012612</v>
      </c>
      <c r="E1712" s="4" t="str">
        <f>"26"</f>
        <v>26</v>
      </c>
      <c r="F1712" s="4" t="str">
        <f>"12"</f>
        <v>12</v>
      </c>
      <c r="G1712" s="4" t="s">
        <v>12</v>
      </c>
      <c r="H1712" s="5">
        <v>53</v>
      </c>
      <c r="I1712" s="4"/>
      <c r="J1712" s="4">
        <f>SUMPRODUCT(--((A1712=$A$3:$A$2785)*$H$3:$H$2785&gt;H1712))+1</f>
        <v>90</v>
      </c>
    </row>
    <row r="1713" s="1" customFormat="true" customHeight="true" spans="1:10">
      <c r="A1713" s="4" t="str">
        <f t="shared" si="198"/>
        <v>022</v>
      </c>
      <c r="B1713" s="4" t="s">
        <v>34</v>
      </c>
      <c r="C1713" s="4" t="str">
        <f>"陈默"</f>
        <v>陈默</v>
      </c>
      <c r="D1713" s="4" t="str">
        <f>"2021013214"</f>
        <v>2021013214</v>
      </c>
      <c r="E1713" s="4" t="str">
        <f t="shared" ref="E1713:E1718" si="201">"32"</f>
        <v>32</v>
      </c>
      <c r="F1713" s="4" t="str">
        <f>"14"</f>
        <v>14</v>
      </c>
      <c r="G1713" s="4" t="s">
        <v>12</v>
      </c>
      <c r="H1713" s="5">
        <v>53</v>
      </c>
      <c r="I1713" s="4"/>
      <c r="J1713" s="4">
        <f>SUMPRODUCT(--((A1713=$A$3:$A$2785)*$H$3:$H$2785&gt;H1713))+1</f>
        <v>90</v>
      </c>
    </row>
    <row r="1714" s="1" customFormat="true" customHeight="true" spans="1:10">
      <c r="A1714" s="4" t="str">
        <f t="shared" si="198"/>
        <v>022</v>
      </c>
      <c r="B1714" s="4" t="s">
        <v>34</v>
      </c>
      <c r="C1714" s="4" t="str">
        <f>"陈琴"</f>
        <v>陈琴</v>
      </c>
      <c r="D1714" s="4" t="str">
        <f>"2021012827"</f>
        <v>2021012827</v>
      </c>
      <c r="E1714" s="4" t="str">
        <f>"28"</f>
        <v>28</v>
      </c>
      <c r="F1714" s="4" t="str">
        <f>"27"</f>
        <v>27</v>
      </c>
      <c r="G1714" s="4" t="s">
        <v>12</v>
      </c>
      <c r="H1714" s="5">
        <v>52.75</v>
      </c>
      <c r="I1714" s="4"/>
      <c r="J1714" s="4">
        <f>SUMPRODUCT(--((A1714=$A$3:$A$2785)*$H$3:$H$2785&gt;H1714))+1</f>
        <v>92</v>
      </c>
    </row>
    <row r="1715" s="1" customFormat="true" customHeight="true" spans="1:10">
      <c r="A1715" s="4" t="str">
        <f t="shared" si="198"/>
        <v>022</v>
      </c>
      <c r="B1715" s="4" t="s">
        <v>34</v>
      </c>
      <c r="C1715" s="4" t="str">
        <f>"尹霞"</f>
        <v>尹霞</v>
      </c>
      <c r="D1715" s="4" t="str">
        <f>"2021013110"</f>
        <v>2021013110</v>
      </c>
      <c r="E1715" s="4" t="str">
        <f>"31"</f>
        <v>31</v>
      </c>
      <c r="F1715" s="4" t="str">
        <f>"10"</f>
        <v>10</v>
      </c>
      <c r="G1715" s="4" t="s">
        <v>12</v>
      </c>
      <c r="H1715" s="5">
        <v>52.75</v>
      </c>
      <c r="I1715" s="4"/>
      <c r="J1715" s="4">
        <f>SUMPRODUCT(--((A1715=$A$3:$A$2785)*$H$3:$H$2785&gt;H1715))+1</f>
        <v>92</v>
      </c>
    </row>
    <row r="1716" s="1" customFormat="true" customHeight="true" spans="1:10">
      <c r="A1716" s="4" t="str">
        <f t="shared" si="198"/>
        <v>022</v>
      </c>
      <c r="B1716" s="4" t="s">
        <v>34</v>
      </c>
      <c r="C1716" s="4" t="str">
        <f>"陈莹"</f>
        <v>陈莹</v>
      </c>
      <c r="D1716" s="4" t="str">
        <f>"2021013212"</f>
        <v>2021013212</v>
      </c>
      <c r="E1716" s="4" t="str">
        <f t="shared" si="201"/>
        <v>32</v>
      </c>
      <c r="F1716" s="4" t="str">
        <f>"12"</f>
        <v>12</v>
      </c>
      <c r="G1716" s="4" t="s">
        <v>12</v>
      </c>
      <c r="H1716" s="5">
        <v>52.5</v>
      </c>
      <c r="I1716" s="4"/>
      <c r="J1716" s="4">
        <f>SUMPRODUCT(--((A1716=$A$3:$A$2785)*$H$3:$H$2785&gt;H1716))+1</f>
        <v>94</v>
      </c>
    </row>
    <row r="1717" s="1" customFormat="true" customHeight="true" spans="1:10">
      <c r="A1717" s="4" t="str">
        <f t="shared" si="198"/>
        <v>022</v>
      </c>
      <c r="B1717" s="4" t="s">
        <v>34</v>
      </c>
      <c r="C1717" s="4" t="str">
        <f>"谢蓉"</f>
        <v>谢蓉</v>
      </c>
      <c r="D1717" s="4" t="str">
        <f>"2021012925"</f>
        <v>2021012925</v>
      </c>
      <c r="E1717" s="4" t="str">
        <f>"29"</f>
        <v>29</v>
      </c>
      <c r="F1717" s="4" t="str">
        <f>"25"</f>
        <v>25</v>
      </c>
      <c r="G1717" s="4" t="s">
        <v>12</v>
      </c>
      <c r="H1717" s="5">
        <v>52.25</v>
      </c>
      <c r="I1717" s="4"/>
      <c r="J1717" s="4">
        <f>SUMPRODUCT(--((A1717=$A$3:$A$2785)*$H$3:$H$2785&gt;H1717))+1</f>
        <v>95</v>
      </c>
    </row>
    <row r="1718" s="1" customFormat="true" customHeight="true" spans="1:10">
      <c r="A1718" s="4" t="str">
        <f t="shared" si="198"/>
        <v>022</v>
      </c>
      <c r="B1718" s="4" t="s">
        <v>34</v>
      </c>
      <c r="C1718" s="4" t="str">
        <f>"周玉"</f>
        <v>周玉</v>
      </c>
      <c r="D1718" s="4" t="str">
        <f>"2021013202"</f>
        <v>2021013202</v>
      </c>
      <c r="E1718" s="4" t="str">
        <f t="shared" si="201"/>
        <v>32</v>
      </c>
      <c r="F1718" s="4" t="str">
        <f>"02"</f>
        <v>02</v>
      </c>
      <c r="G1718" s="4" t="s">
        <v>12</v>
      </c>
      <c r="H1718" s="5">
        <v>52.25</v>
      </c>
      <c r="I1718" s="4"/>
      <c r="J1718" s="4">
        <f>SUMPRODUCT(--((A1718=$A$3:$A$2785)*$H$3:$H$2785&gt;H1718))+1</f>
        <v>95</v>
      </c>
    </row>
    <row r="1719" s="1" customFormat="true" customHeight="true" spans="1:10">
      <c r="A1719" s="4" t="str">
        <f t="shared" si="198"/>
        <v>022</v>
      </c>
      <c r="B1719" s="4" t="s">
        <v>34</v>
      </c>
      <c r="C1719" s="4" t="str">
        <f>"杨洁"</f>
        <v>杨洁</v>
      </c>
      <c r="D1719" s="4" t="str">
        <f>"2021012601"</f>
        <v>2021012601</v>
      </c>
      <c r="E1719" s="4" t="str">
        <f>"26"</f>
        <v>26</v>
      </c>
      <c r="F1719" s="4" t="str">
        <f>"01"</f>
        <v>01</v>
      </c>
      <c r="G1719" s="4" t="s">
        <v>12</v>
      </c>
      <c r="H1719" s="5">
        <v>51</v>
      </c>
      <c r="I1719" s="4"/>
      <c r="J1719" s="4">
        <f>SUMPRODUCT(--((A1719=$A$3:$A$2785)*$H$3:$H$2785&gt;H1719))+1</f>
        <v>97</v>
      </c>
    </row>
    <row r="1720" s="1" customFormat="true" customHeight="true" spans="1:10">
      <c r="A1720" s="4" t="str">
        <f t="shared" si="198"/>
        <v>022</v>
      </c>
      <c r="B1720" s="4" t="s">
        <v>34</v>
      </c>
      <c r="C1720" s="4" t="str">
        <f>"罗辉"</f>
        <v>罗辉</v>
      </c>
      <c r="D1720" s="4" t="str">
        <f>"2021012523"</f>
        <v>2021012523</v>
      </c>
      <c r="E1720" s="4" t="str">
        <f>"25"</f>
        <v>25</v>
      </c>
      <c r="F1720" s="4" t="str">
        <f>"23"</f>
        <v>23</v>
      </c>
      <c r="G1720" s="4" t="s">
        <v>12</v>
      </c>
      <c r="H1720" s="5">
        <v>50.5</v>
      </c>
      <c r="I1720" s="4"/>
      <c r="J1720" s="4">
        <f>SUMPRODUCT(--((A1720=$A$3:$A$2785)*$H$3:$H$2785&gt;H1720))+1</f>
        <v>98</v>
      </c>
    </row>
    <row r="1721" s="1" customFormat="true" customHeight="true" spans="1:10">
      <c r="A1721" s="4" t="str">
        <f t="shared" si="198"/>
        <v>022</v>
      </c>
      <c r="B1721" s="4" t="s">
        <v>34</v>
      </c>
      <c r="C1721" s="4" t="str">
        <f>"王煦"</f>
        <v>王煦</v>
      </c>
      <c r="D1721" s="4" t="str">
        <f>"2021013218"</f>
        <v>2021013218</v>
      </c>
      <c r="E1721" s="4" t="str">
        <f>"32"</f>
        <v>32</v>
      </c>
      <c r="F1721" s="4" t="str">
        <f>"18"</f>
        <v>18</v>
      </c>
      <c r="G1721" s="4" t="s">
        <v>12</v>
      </c>
      <c r="H1721" s="5">
        <v>50.5</v>
      </c>
      <c r="I1721" s="4"/>
      <c r="J1721" s="4">
        <f>SUMPRODUCT(--((A1721=$A$3:$A$2785)*$H$3:$H$2785&gt;H1721))+1</f>
        <v>98</v>
      </c>
    </row>
    <row r="1722" s="1" customFormat="true" customHeight="true" spans="1:10">
      <c r="A1722" s="4" t="str">
        <f t="shared" si="198"/>
        <v>022</v>
      </c>
      <c r="B1722" s="4" t="s">
        <v>34</v>
      </c>
      <c r="C1722" s="4" t="str">
        <f>"李思吴"</f>
        <v>李思吴</v>
      </c>
      <c r="D1722" s="4" t="str">
        <f>"2021013225"</f>
        <v>2021013225</v>
      </c>
      <c r="E1722" s="4" t="str">
        <f>"32"</f>
        <v>32</v>
      </c>
      <c r="F1722" s="4" t="str">
        <f>"25"</f>
        <v>25</v>
      </c>
      <c r="G1722" s="4" t="s">
        <v>12</v>
      </c>
      <c r="H1722" s="5">
        <v>50.25</v>
      </c>
      <c r="I1722" s="4"/>
      <c r="J1722" s="4">
        <f>SUMPRODUCT(--((A1722=$A$3:$A$2785)*$H$3:$H$2785&gt;H1722))+1</f>
        <v>100</v>
      </c>
    </row>
    <row r="1723" s="1" customFormat="true" customHeight="true" spans="1:10">
      <c r="A1723" s="4" t="str">
        <f t="shared" si="198"/>
        <v>022</v>
      </c>
      <c r="B1723" s="4" t="s">
        <v>34</v>
      </c>
      <c r="C1723" s="4" t="str">
        <f>"丁佳佳"</f>
        <v>丁佳佳</v>
      </c>
      <c r="D1723" s="4" t="str">
        <f>"2021012904"</f>
        <v>2021012904</v>
      </c>
      <c r="E1723" s="4" t="str">
        <f>"29"</f>
        <v>29</v>
      </c>
      <c r="F1723" s="4" t="str">
        <f>"04"</f>
        <v>04</v>
      </c>
      <c r="G1723" s="4" t="s">
        <v>12</v>
      </c>
      <c r="H1723" s="5">
        <v>49.75</v>
      </c>
      <c r="I1723" s="4"/>
      <c r="J1723" s="4">
        <f>SUMPRODUCT(--((A1723=$A$3:$A$2785)*$H$3:$H$2785&gt;H1723))+1</f>
        <v>101</v>
      </c>
    </row>
    <row r="1724" s="1" customFormat="true" customHeight="true" spans="1:10">
      <c r="A1724" s="4" t="str">
        <f t="shared" si="198"/>
        <v>022</v>
      </c>
      <c r="B1724" s="4" t="s">
        <v>34</v>
      </c>
      <c r="C1724" s="4" t="str">
        <f>"贺艳芝"</f>
        <v>贺艳芝</v>
      </c>
      <c r="D1724" s="4" t="str">
        <f>"2021012627"</f>
        <v>2021012627</v>
      </c>
      <c r="E1724" s="4" t="str">
        <f>"26"</f>
        <v>26</v>
      </c>
      <c r="F1724" s="4" t="str">
        <f>"27"</f>
        <v>27</v>
      </c>
      <c r="G1724" s="4" t="s">
        <v>12</v>
      </c>
      <c r="H1724" s="5">
        <v>49.25</v>
      </c>
      <c r="I1724" s="4"/>
      <c r="J1724" s="4">
        <f>SUMPRODUCT(--((A1724=$A$3:$A$2785)*$H$3:$H$2785&gt;H1724))+1</f>
        <v>102</v>
      </c>
    </row>
    <row r="1725" s="1" customFormat="true" customHeight="true" spans="1:10">
      <c r="A1725" s="4" t="str">
        <f t="shared" si="198"/>
        <v>022</v>
      </c>
      <c r="B1725" s="4" t="s">
        <v>34</v>
      </c>
      <c r="C1725" s="4" t="str">
        <f>"李铮"</f>
        <v>李铮</v>
      </c>
      <c r="D1725" s="4" t="str">
        <f>"2021012814"</f>
        <v>2021012814</v>
      </c>
      <c r="E1725" s="4" t="str">
        <f t="shared" ref="E1725:E1728" si="202">"28"</f>
        <v>28</v>
      </c>
      <c r="F1725" s="4" t="str">
        <f>"14"</f>
        <v>14</v>
      </c>
      <c r="G1725" s="4" t="s">
        <v>12</v>
      </c>
      <c r="H1725" s="5">
        <v>49</v>
      </c>
      <c r="I1725" s="4"/>
      <c r="J1725" s="4">
        <f>SUMPRODUCT(--((A1725=$A$3:$A$2785)*$H$3:$H$2785&gt;H1725))+1</f>
        <v>103</v>
      </c>
    </row>
    <row r="1726" s="1" customFormat="true" customHeight="true" spans="1:10">
      <c r="A1726" s="4" t="str">
        <f t="shared" si="198"/>
        <v>022</v>
      </c>
      <c r="B1726" s="4" t="s">
        <v>34</v>
      </c>
      <c r="C1726" s="4" t="str">
        <f>"田志东"</f>
        <v>田志东</v>
      </c>
      <c r="D1726" s="4" t="str">
        <f>"2021012804"</f>
        <v>2021012804</v>
      </c>
      <c r="E1726" s="4" t="str">
        <f t="shared" si="202"/>
        <v>28</v>
      </c>
      <c r="F1726" s="4" t="str">
        <f>"04"</f>
        <v>04</v>
      </c>
      <c r="G1726" s="4" t="s">
        <v>12</v>
      </c>
      <c r="H1726" s="5">
        <v>48.5</v>
      </c>
      <c r="I1726" s="4"/>
      <c r="J1726" s="4">
        <f>SUMPRODUCT(--((A1726=$A$3:$A$2785)*$H$3:$H$2785&gt;H1726))+1</f>
        <v>104</v>
      </c>
    </row>
    <row r="1727" s="1" customFormat="true" customHeight="true" spans="1:10">
      <c r="A1727" s="4" t="str">
        <f t="shared" si="198"/>
        <v>022</v>
      </c>
      <c r="B1727" s="4" t="s">
        <v>34</v>
      </c>
      <c r="C1727" s="4" t="str">
        <f>"刘慧婷"</f>
        <v>刘慧婷</v>
      </c>
      <c r="D1727" s="4" t="str">
        <f>"2021012805"</f>
        <v>2021012805</v>
      </c>
      <c r="E1727" s="4" t="str">
        <f t="shared" si="202"/>
        <v>28</v>
      </c>
      <c r="F1727" s="4" t="str">
        <f>"05"</f>
        <v>05</v>
      </c>
      <c r="G1727" s="4" t="s">
        <v>12</v>
      </c>
      <c r="H1727" s="5">
        <v>48.25</v>
      </c>
      <c r="I1727" s="4"/>
      <c r="J1727" s="4">
        <f>SUMPRODUCT(--((A1727=$A$3:$A$2785)*$H$3:$H$2785&gt;H1727))+1</f>
        <v>105</v>
      </c>
    </row>
    <row r="1728" s="1" customFormat="true" customHeight="true" spans="1:10">
      <c r="A1728" s="4" t="str">
        <f t="shared" si="198"/>
        <v>022</v>
      </c>
      <c r="B1728" s="4" t="s">
        <v>34</v>
      </c>
      <c r="C1728" s="4" t="str">
        <f>"向杰"</f>
        <v>向杰</v>
      </c>
      <c r="D1728" s="4" t="str">
        <f>"2021012818"</f>
        <v>2021012818</v>
      </c>
      <c r="E1728" s="4" t="str">
        <f t="shared" si="202"/>
        <v>28</v>
      </c>
      <c r="F1728" s="4" t="str">
        <f>"18"</f>
        <v>18</v>
      </c>
      <c r="G1728" s="4" t="s">
        <v>12</v>
      </c>
      <c r="H1728" s="5">
        <v>48.25</v>
      </c>
      <c r="I1728" s="4"/>
      <c r="J1728" s="4">
        <f>SUMPRODUCT(--((A1728=$A$3:$A$2785)*$H$3:$H$2785&gt;H1728))+1</f>
        <v>105</v>
      </c>
    </row>
    <row r="1729" s="1" customFormat="true" customHeight="true" spans="1:10">
      <c r="A1729" s="4" t="str">
        <f t="shared" si="198"/>
        <v>022</v>
      </c>
      <c r="B1729" s="4" t="s">
        <v>34</v>
      </c>
      <c r="C1729" s="4" t="str">
        <f>"熊彩"</f>
        <v>熊彩</v>
      </c>
      <c r="D1729" s="4" t="str">
        <f>"2021013015"</f>
        <v>2021013015</v>
      </c>
      <c r="E1729" s="4" t="str">
        <f>"30"</f>
        <v>30</v>
      </c>
      <c r="F1729" s="4" t="str">
        <f>"15"</f>
        <v>15</v>
      </c>
      <c r="G1729" s="4" t="s">
        <v>12</v>
      </c>
      <c r="H1729" s="5">
        <v>48.25</v>
      </c>
      <c r="I1729" s="4"/>
      <c r="J1729" s="4">
        <f>SUMPRODUCT(--((A1729=$A$3:$A$2785)*$H$3:$H$2785&gt;H1729))+1</f>
        <v>105</v>
      </c>
    </row>
    <row r="1730" s="1" customFormat="true" customHeight="true" spans="1:10">
      <c r="A1730" s="4" t="str">
        <f t="shared" si="198"/>
        <v>022</v>
      </c>
      <c r="B1730" s="4" t="s">
        <v>34</v>
      </c>
      <c r="C1730" s="4" t="str">
        <f>"曾湘杰"</f>
        <v>曾湘杰</v>
      </c>
      <c r="D1730" s="4" t="str">
        <f>"2021013123"</f>
        <v>2021013123</v>
      </c>
      <c r="E1730" s="4" t="str">
        <f>"31"</f>
        <v>31</v>
      </c>
      <c r="F1730" s="4" t="str">
        <f>"23"</f>
        <v>23</v>
      </c>
      <c r="G1730" s="4" t="s">
        <v>12</v>
      </c>
      <c r="H1730" s="5">
        <v>48</v>
      </c>
      <c r="I1730" s="4"/>
      <c r="J1730" s="4">
        <f>SUMPRODUCT(--((A1730=$A$3:$A$2785)*$H$3:$H$2785&gt;H1730))+1</f>
        <v>108</v>
      </c>
    </row>
    <row r="1731" s="1" customFormat="true" customHeight="true" spans="1:10">
      <c r="A1731" s="4" t="str">
        <f t="shared" si="198"/>
        <v>022</v>
      </c>
      <c r="B1731" s="4" t="s">
        <v>34</v>
      </c>
      <c r="C1731" s="4" t="str">
        <f>"张红凤"</f>
        <v>张红凤</v>
      </c>
      <c r="D1731" s="4" t="str">
        <f>"2021013118"</f>
        <v>2021013118</v>
      </c>
      <c r="E1731" s="4" t="str">
        <f>"31"</f>
        <v>31</v>
      </c>
      <c r="F1731" s="4" t="str">
        <f>"18"</f>
        <v>18</v>
      </c>
      <c r="G1731" s="4" t="s">
        <v>12</v>
      </c>
      <c r="H1731" s="5">
        <v>47.5</v>
      </c>
      <c r="I1731" s="4"/>
      <c r="J1731" s="4">
        <f>SUMPRODUCT(--((A1731=$A$3:$A$2785)*$H$3:$H$2785&gt;H1731))+1</f>
        <v>109</v>
      </c>
    </row>
    <row r="1732" s="1" customFormat="true" customHeight="true" spans="1:10">
      <c r="A1732" s="4" t="str">
        <f t="shared" si="198"/>
        <v>022</v>
      </c>
      <c r="B1732" s="4" t="s">
        <v>34</v>
      </c>
      <c r="C1732" s="4" t="str">
        <f>"冯佳萍"</f>
        <v>冯佳萍</v>
      </c>
      <c r="D1732" s="4" t="str">
        <f>"2021013226"</f>
        <v>2021013226</v>
      </c>
      <c r="E1732" s="4" t="str">
        <f>"32"</f>
        <v>32</v>
      </c>
      <c r="F1732" s="4" t="str">
        <f>"26"</f>
        <v>26</v>
      </c>
      <c r="G1732" s="4" t="s">
        <v>12</v>
      </c>
      <c r="H1732" s="5">
        <v>46</v>
      </c>
      <c r="I1732" s="4"/>
      <c r="J1732" s="4">
        <f>SUMPRODUCT(--((A1732=$A$3:$A$2785)*$H$3:$H$2785&gt;H1732))+1</f>
        <v>110</v>
      </c>
    </row>
    <row r="1733" s="1" customFormat="true" customHeight="true" spans="1:10">
      <c r="A1733" s="4" t="str">
        <f t="shared" si="198"/>
        <v>022</v>
      </c>
      <c r="B1733" s="4" t="s">
        <v>34</v>
      </c>
      <c r="C1733" s="4" t="str">
        <f>"向彬彬"</f>
        <v>向彬彬</v>
      </c>
      <c r="D1733" s="4" t="str">
        <f>"2021013217"</f>
        <v>2021013217</v>
      </c>
      <c r="E1733" s="4" t="str">
        <f>"32"</f>
        <v>32</v>
      </c>
      <c r="F1733" s="4" t="str">
        <f>"17"</f>
        <v>17</v>
      </c>
      <c r="G1733" s="4" t="s">
        <v>12</v>
      </c>
      <c r="H1733" s="5">
        <v>45.75</v>
      </c>
      <c r="I1733" s="4"/>
      <c r="J1733" s="4">
        <f>SUMPRODUCT(--((A1733=$A$3:$A$2785)*$H$3:$H$2785&gt;H1733))+1</f>
        <v>111</v>
      </c>
    </row>
    <row r="1734" s="1" customFormat="true" customHeight="true" spans="1:10">
      <c r="A1734" s="4" t="str">
        <f t="shared" si="198"/>
        <v>022</v>
      </c>
      <c r="B1734" s="4" t="s">
        <v>34</v>
      </c>
      <c r="C1734" s="4" t="str">
        <f>"田雪艳"</f>
        <v>田雪艳</v>
      </c>
      <c r="D1734" s="4" t="str">
        <f>"2021012714"</f>
        <v>2021012714</v>
      </c>
      <c r="E1734" s="4" t="str">
        <f>"27"</f>
        <v>27</v>
      </c>
      <c r="F1734" s="4" t="str">
        <f>"14"</f>
        <v>14</v>
      </c>
      <c r="G1734" s="4" t="s">
        <v>12</v>
      </c>
      <c r="H1734" s="5">
        <v>45.5</v>
      </c>
      <c r="I1734" s="4"/>
      <c r="J1734" s="4">
        <f>SUMPRODUCT(--((A1734=$A$3:$A$2785)*$H$3:$H$2785&gt;H1734))+1</f>
        <v>112</v>
      </c>
    </row>
    <row r="1735" s="1" customFormat="true" customHeight="true" spans="1:10">
      <c r="A1735" s="4" t="str">
        <f t="shared" si="198"/>
        <v>022</v>
      </c>
      <c r="B1735" s="4" t="s">
        <v>34</v>
      </c>
      <c r="C1735" s="4" t="str">
        <f>"邓雨婷"</f>
        <v>邓雨婷</v>
      </c>
      <c r="D1735" s="4" t="str">
        <f>"2021012803"</f>
        <v>2021012803</v>
      </c>
      <c r="E1735" s="4" t="str">
        <f>"28"</f>
        <v>28</v>
      </c>
      <c r="F1735" s="4" t="str">
        <f>"03"</f>
        <v>03</v>
      </c>
      <c r="G1735" s="4" t="s">
        <v>12</v>
      </c>
      <c r="H1735" s="5">
        <v>45.5</v>
      </c>
      <c r="I1735" s="4"/>
      <c r="J1735" s="4">
        <f>SUMPRODUCT(--((A1735=$A$3:$A$2785)*$H$3:$H$2785&gt;H1735))+1</f>
        <v>112</v>
      </c>
    </row>
    <row r="1736" s="1" customFormat="true" customHeight="true" spans="1:10">
      <c r="A1736" s="4" t="str">
        <f t="shared" si="198"/>
        <v>022</v>
      </c>
      <c r="B1736" s="4" t="s">
        <v>34</v>
      </c>
      <c r="C1736" s="4" t="str">
        <f>"刘莉"</f>
        <v>刘莉</v>
      </c>
      <c r="D1736" s="4" t="str">
        <f>"2021013127"</f>
        <v>2021013127</v>
      </c>
      <c r="E1736" s="4" t="str">
        <f t="shared" ref="E1736:E1739" si="203">"31"</f>
        <v>31</v>
      </c>
      <c r="F1736" s="4" t="str">
        <f>"27"</f>
        <v>27</v>
      </c>
      <c r="G1736" s="4" t="s">
        <v>12</v>
      </c>
      <c r="H1736" s="5">
        <v>45.5</v>
      </c>
      <c r="I1736" s="4"/>
      <c r="J1736" s="4">
        <f>SUMPRODUCT(--((A1736=$A$3:$A$2785)*$H$3:$H$2785&gt;H1736))+1</f>
        <v>112</v>
      </c>
    </row>
    <row r="1737" s="1" customFormat="true" customHeight="true" spans="1:10">
      <c r="A1737" s="4" t="str">
        <f t="shared" si="198"/>
        <v>022</v>
      </c>
      <c r="B1737" s="4" t="s">
        <v>34</v>
      </c>
      <c r="C1737" s="4" t="str">
        <f>"向岚"</f>
        <v>向岚</v>
      </c>
      <c r="D1737" s="4" t="str">
        <f>"2021013307"</f>
        <v>2021013307</v>
      </c>
      <c r="E1737" s="4" t="str">
        <f>"33"</f>
        <v>33</v>
      </c>
      <c r="F1737" s="4" t="str">
        <f>"07"</f>
        <v>07</v>
      </c>
      <c r="G1737" s="4" t="s">
        <v>12</v>
      </c>
      <c r="H1737" s="5">
        <v>44.5</v>
      </c>
      <c r="I1737" s="4"/>
      <c r="J1737" s="4">
        <f>SUMPRODUCT(--((A1737=$A$3:$A$2785)*$H$3:$H$2785&gt;H1737))+1</f>
        <v>115</v>
      </c>
    </row>
    <row r="1738" s="1" customFormat="true" customHeight="true" spans="1:10">
      <c r="A1738" s="4" t="str">
        <f t="shared" si="198"/>
        <v>022</v>
      </c>
      <c r="B1738" s="4" t="s">
        <v>34</v>
      </c>
      <c r="C1738" s="4" t="str">
        <f>"杨琰"</f>
        <v>杨琰</v>
      </c>
      <c r="D1738" s="4" t="str">
        <f>"2021013114"</f>
        <v>2021013114</v>
      </c>
      <c r="E1738" s="4" t="str">
        <f t="shared" si="203"/>
        <v>31</v>
      </c>
      <c r="F1738" s="4" t="str">
        <f>"14"</f>
        <v>14</v>
      </c>
      <c r="G1738" s="4" t="s">
        <v>12</v>
      </c>
      <c r="H1738" s="5">
        <v>44.25</v>
      </c>
      <c r="I1738" s="4"/>
      <c r="J1738" s="4">
        <f>SUMPRODUCT(--((A1738=$A$3:$A$2785)*$H$3:$H$2785&gt;H1738))+1</f>
        <v>116</v>
      </c>
    </row>
    <row r="1739" s="1" customFormat="true" customHeight="true" spans="1:10">
      <c r="A1739" s="4" t="str">
        <f t="shared" si="198"/>
        <v>022</v>
      </c>
      <c r="B1739" s="4" t="s">
        <v>34</v>
      </c>
      <c r="C1739" s="4" t="str">
        <f>"夏银霞"</f>
        <v>夏银霞</v>
      </c>
      <c r="D1739" s="4" t="str">
        <f>"2021013102"</f>
        <v>2021013102</v>
      </c>
      <c r="E1739" s="4" t="str">
        <f t="shared" si="203"/>
        <v>31</v>
      </c>
      <c r="F1739" s="4" t="str">
        <f>"02"</f>
        <v>02</v>
      </c>
      <c r="G1739" s="4" t="s">
        <v>12</v>
      </c>
      <c r="H1739" s="5">
        <v>43.75</v>
      </c>
      <c r="I1739" s="4"/>
      <c r="J1739" s="4">
        <f>SUMPRODUCT(--((A1739=$A$3:$A$2785)*$H$3:$H$2785&gt;H1739))+1</f>
        <v>117</v>
      </c>
    </row>
    <row r="1740" s="1" customFormat="true" customHeight="true" spans="1:10">
      <c r="A1740" s="4" t="str">
        <f t="shared" si="198"/>
        <v>022</v>
      </c>
      <c r="B1740" s="4" t="s">
        <v>34</v>
      </c>
      <c r="C1740" s="4" t="str">
        <f>"冯裕"</f>
        <v>冯裕</v>
      </c>
      <c r="D1740" s="4" t="str">
        <f>"2021012909"</f>
        <v>2021012909</v>
      </c>
      <c r="E1740" s="4" t="str">
        <f>"29"</f>
        <v>29</v>
      </c>
      <c r="F1740" s="4" t="str">
        <f>"09"</f>
        <v>09</v>
      </c>
      <c r="G1740" s="4" t="s">
        <v>12</v>
      </c>
      <c r="H1740" s="5">
        <v>42.5</v>
      </c>
      <c r="I1740" s="4"/>
      <c r="J1740" s="4">
        <f>SUMPRODUCT(--((A1740=$A$3:$A$2785)*$H$3:$H$2785&gt;H1740))+1</f>
        <v>118</v>
      </c>
    </row>
    <row r="1741" s="1" customFormat="true" customHeight="true" spans="1:10">
      <c r="A1741" s="4" t="str">
        <f t="shared" si="198"/>
        <v>022</v>
      </c>
      <c r="B1741" s="4" t="s">
        <v>34</v>
      </c>
      <c r="C1741" s="4" t="str">
        <f>"刘湘妃"</f>
        <v>刘湘妃</v>
      </c>
      <c r="D1741" s="4" t="str">
        <f>"2021012611"</f>
        <v>2021012611</v>
      </c>
      <c r="E1741" s="4" t="str">
        <f>"26"</f>
        <v>26</v>
      </c>
      <c r="F1741" s="4" t="str">
        <f>"11"</f>
        <v>11</v>
      </c>
      <c r="G1741" s="4" t="s">
        <v>12</v>
      </c>
      <c r="H1741" s="5">
        <v>42.25</v>
      </c>
      <c r="I1741" s="4"/>
      <c r="J1741" s="4">
        <f>SUMPRODUCT(--((A1741=$A$3:$A$2785)*$H$3:$H$2785&gt;H1741))+1</f>
        <v>119</v>
      </c>
    </row>
    <row r="1742" s="1" customFormat="true" customHeight="true" spans="1:10">
      <c r="A1742" s="4" t="str">
        <f t="shared" si="198"/>
        <v>022</v>
      </c>
      <c r="B1742" s="4" t="s">
        <v>34</v>
      </c>
      <c r="C1742" s="4" t="str">
        <f>"郑仪"</f>
        <v>郑仪</v>
      </c>
      <c r="D1742" s="4" t="str">
        <f>"2021012921"</f>
        <v>2021012921</v>
      </c>
      <c r="E1742" s="4" t="str">
        <f>"29"</f>
        <v>29</v>
      </c>
      <c r="F1742" s="4" t="str">
        <f>"21"</f>
        <v>21</v>
      </c>
      <c r="G1742" s="4" t="s">
        <v>12</v>
      </c>
      <c r="H1742" s="5">
        <v>30</v>
      </c>
      <c r="I1742" s="4"/>
      <c r="J1742" s="4">
        <f>SUMPRODUCT(--((A1742=$A$3:$A$2785)*$H$3:$H$2785&gt;H1742))+1</f>
        <v>120</v>
      </c>
    </row>
    <row r="1743" s="1" customFormat="true" customHeight="true" spans="1:10">
      <c r="A1743" s="4" t="str">
        <f t="shared" si="198"/>
        <v>022</v>
      </c>
      <c r="B1743" s="4" t="s">
        <v>34</v>
      </c>
      <c r="C1743" s="4" t="str">
        <f>"韩靖霞"</f>
        <v>韩靖霞</v>
      </c>
      <c r="D1743" s="4" t="str">
        <f>"2021012518"</f>
        <v>2021012518</v>
      </c>
      <c r="E1743" s="4" t="str">
        <f t="shared" ref="E1743:E1747" si="204">"25"</f>
        <v>25</v>
      </c>
      <c r="F1743" s="4" t="str">
        <f>"18"</f>
        <v>18</v>
      </c>
      <c r="G1743" s="4" t="s">
        <v>12</v>
      </c>
      <c r="H1743" s="5">
        <v>0</v>
      </c>
      <c r="I1743" s="6" t="s">
        <v>13</v>
      </c>
      <c r="J1743" s="4">
        <f>SUMPRODUCT(--((A1743=$A$3:$A$2785)*$H$3:$H$2785&gt;H1743))+1</f>
        <v>121</v>
      </c>
    </row>
    <row r="1744" s="1" customFormat="true" customHeight="true" spans="1:10">
      <c r="A1744" s="4" t="str">
        <f t="shared" si="198"/>
        <v>022</v>
      </c>
      <c r="B1744" s="4" t="s">
        <v>34</v>
      </c>
      <c r="C1744" s="4" t="str">
        <f>"唐娜"</f>
        <v>唐娜</v>
      </c>
      <c r="D1744" s="4" t="str">
        <f>"2021012524"</f>
        <v>2021012524</v>
      </c>
      <c r="E1744" s="4" t="str">
        <f t="shared" si="204"/>
        <v>25</v>
      </c>
      <c r="F1744" s="4" t="str">
        <f>"24"</f>
        <v>24</v>
      </c>
      <c r="G1744" s="4" t="s">
        <v>12</v>
      </c>
      <c r="H1744" s="5">
        <v>0</v>
      </c>
      <c r="I1744" s="6" t="s">
        <v>13</v>
      </c>
      <c r="J1744" s="4">
        <f>SUMPRODUCT(--((A1744=$A$3:$A$2785)*$H$3:$H$2785&gt;H1744))+1</f>
        <v>121</v>
      </c>
    </row>
    <row r="1745" s="1" customFormat="true" customHeight="true" spans="1:10">
      <c r="A1745" s="4" t="str">
        <f t="shared" si="198"/>
        <v>022</v>
      </c>
      <c r="B1745" s="4" t="s">
        <v>34</v>
      </c>
      <c r="C1745" s="4" t="str">
        <f>"邓以艳"</f>
        <v>邓以艳</v>
      </c>
      <c r="D1745" s="4" t="str">
        <f>"2021012527"</f>
        <v>2021012527</v>
      </c>
      <c r="E1745" s="4" t="str">
        <f t="shared" si="204"/>
        <v>25</v>
      </c>
      <c r="F1745" s="4" t="str">
        <f>"27"</f>
        <v>27</v>
      </c>
      <c r="G1745" s="4" t="s">
        <v>12</v>
      </c>
      <c r="H1745" s="5">
        <v>0</v>
      </c>
      <c r="I1745" s="6" t="s">
        <v>13</v>
      </c>
      <c r="J1745" s="4">
        <f>SUMPRODUCT(--((A1745=$A$3:$A$2785)*$H$3:$H$2785&gt;H1745))+1</f>
        <v>121</v>
      </c>
    </row>
    <row r="1746" s="1" customFormat="true" customHeight="true" spans="1:10">
      <c r="A1746" s="4" t="str">
        <f t="shared" si="198"/>
        <v>022</v>
      </c>
      <c r="B1746" s="4" t="s">
        <v>34</v>
      </c>
      <c r="C1746" s="4" t="str">
        <f>"刘丽贤"</f>
        <v>刘丽贤</v>
      </c>
      <c r="D1746" s="4" t="str">
        <f>"2021012528"</f>
        <v>2021012528</v>
      </c>
      <c r="E1746" s="4" t="str">
        <f t="shared" si="204"/>
        <v>25</v>
      </c>
      <c r="F1746" s="4" t="str">
        <f>"28"</f>
        <v>28</v>
      </c>
      <c r="G1746" s="4" t="s">
        <v>12</v>
      </c>
      <c r="H1746" s="5">
        <v>0</v>
      </c>
      <c r="I1746" s="6" t="s">
        <v>13</v>
      </c>
      <c r="J1746" s="4">
        <f>SUMPRODUCT(--((A1746=$A$3:$A$2785)*$H$3:$H$2785&gt;H1746))+1</f>
        <v>121</v>
      </c>
    </row>
    <row r="1747" s="1" customFormat="true" customHeight="true" spans="1:10">
      <c r="A1747" s="4" t="str">
        <f t="shared" si="198"/>
        <v>022</v>
      </c>
      <c r="B1747" s="4" t="s">
        <v>34</v>
      </c>
      <c r="C1747" s="4" t="str">
        <f>"段吉芳"</f>
        <v>段吉芳</v>
      </c>
      <c r="D1747" s="4" t="str">
        <f>"2021012530"</f>
        <v>2021012530</v>
      </c>
      <c r="E1747" s="4" t="str">
        <f t="shared" si="204"/>
        <v>25</v>
      </c>
      <c r="F1747" s="4" t="str">
        <f>"30"</f>
        <v>30</v>
      </c>
      <c r="G1747" s="4" t="s">
        <v>12</v>
      </c>
      <c r="H1747" s="5">
        <v>0</v>
      </c>
      <c r="I1747" s="6" t="s">
        <v>13</v>
      </c>
      <c r="J1747" s="4">
        <f>SUMPRODUCT(--((A1747=$A$3:$A$2785)*$H$3:$H$2785&gt;H1747))+1</f>
        <v>121</v>
      </c>
    </row>
    <row r="1748" s="1" customFormat="true" customHeight="true" spans="1:10">
      <c r="A1748" s="4" t="str">
        <f t="shared" si="198"/>
        <v>022</v>
      </c>
      <c r="B1748" s="4" t="s">
        <v>34</v>
      </c>
      <c r="C1748" s="4" t="str">
        <f>"郭金冶"</f>
        <v>郭金冶</v>
      </c>
      <c r="D1748" s="4" t="str">
        <f>"2021012602"</f>
        <v>2021012602</v>
      </c>
      <c r="E1748" s="4" t="str">
        <f t="shared" ref="E1748:E1759" si="205">"26"</f>
        <v>26</v>
      </c>
      <c r="F1748" s="4" t="str">
        <f>"02"</f>
        <v>02</v>
      </c>
      <c r="G1748" s="4" t="s">
        <v>12</v>
      </c>
      <c r="H1748" s="5">
        <v>0</v>
      </c>
      <c r="I1748" s="6" t="s">
        <v>13</v>
      </c>
      <c r="J1748" s="4">
        <f>SUMPRODUCT(--((A1748=$A$3:$A$2785)*$H$3:$H$2785&gt;H1748))+1</f>
        <v>121</v>
      </c>
    </row>
    <row r="1749" s="1" customFormat="true" customHeight="true" spans="1:10">
      <c r="A1749" s="4" t="str">
        <f t="shared" si="198"/>
        <v>022</v>
      </c>
      <c r="B1749" s="4" t="s">
        <v>34</v>
      </c>
      <c r="C1749" s="4" t="str">
        <f>"高蓝"</f>
        <v>高蓝</v>
      </c>
      <c r="D1749" s="4" t="str">
        <f>"2021012605"</f>
        <v>2021012605</v>
      </c>
      <c r="E1749" s="4" t="str">
        <f t="shared" si="205"/>
        <v>26</v>
      </c>
      <c r="F1749" s="4" t="str">
        <f>"05"</f>
        <v>05</v>
      </c>
      <c r="G1749" s="4" t="s">
        <v>12</v>
      </c>
      <c r="H1749" s="5">
        <v>0</v>
      </c>
      <c r="I1749" s="6" t="s">
        <v>13</v>
      </c>
      <c r="J1749" s="4">
        <f>SUMPRODUCT(--((A1749=$A$3:$A$2785)*$H$3:$H$2785&gt;H1749))+1</f>
        <v>121</v>
      </c>
    </row>
    <row r="1750" s="1" customFormat="true" customHeight="true" spans="1:10">
      <c r="A1750" s="4" t="str">
        <f t="shared" si="198"/>
        <v>022</v>
      </c>
      <c r="B1750" s="4" t="s">
        <v>34</v>
      </c>
      <c r="C1750" s="4" t="str">
        <f>"田小妹"</f>
        <v>田小妹</v>
      </c>
      <c r="D1750" s="4" t="str">
        <f>"2021012606"</f>
        <v>2021012606</v>
      </c>
      <c r="E1750" s="4" t="str">
        <f t="shared" si="205"/>
        <v>26</v>
      </c>
      <c r="F1750" s="4" t="str">
        <f>"06"</f>
        <v>06</v>
      </c>
      <c r="G1750" s="4" t="s">
        <v>12</v>
      </c>
      <c r="H1750" s="5">
        <v>0</v>
      </c>
      <c r="I1750" s="6" t="s">
        <v>13</v>
      </c>
      <c r="J1750" s="4">
        <f>SUMPRODUCT(--((A1750=$A$3:$A$2785)*$H$3:$H$2785&gt;H1750))+1</f>
        <v>121</v>
      </c>
    </row>
    <row r="1751" s="1" customFormat="true" customHeight="true" spans="1:10">
      <c r="A1751" s="4" t="str">
        <f t="shared" ref="A1751:A1814" si="206">"022"</f>
        <v>022</v>
      </c>
      <c r="B1751" s="4" t="s">
        <v>34</v>
      </c>
      <c r="C1751" s="4" t="str">
        <f>"陈佳蔓"</f>
        <v>陈佳蔓</v>
      </c>
      <c r="D1751" s="4" t="str">
        <f>"2021012608"</f>
        <v>2021012608</v>
      </c>
      <c r="E1751" s="4" t="str">
        <f t="shared" si="205"/>
        <v>26</v>
      </c>
      <c r="F1751" s="4" t="str">
        <f>"08"</f>
        <v>08</v>
      </c>
      <c r="G1751" s="4" t="s">
        <v>12</v>
      </c>
      <c r="H1751" s="5">
        <v>0</v>
      </c>
      <c r="I1751" s="6" t="s">
        <v>13</v>
      </c>
      <c r="J1751" s="4">
        <f>SUMPRODUCT(--((A1751=$A$3:$A$2785)*$H$3:$H$2785&gt;H1751))+1</f>
        <v>121</v>
      </c>
    </row>
    <row r="1752" s="1" customFormat="true" customHeight="true" spans="1:10">
      <c r="A1752" s="4" t="str">
        <f t="shared" si="206"/>
        <v>022</v>
      </c>
      <c r="B1752" s="4" t="s">
        <v>34</v>
      </c>
      <c r="C1752" s="4" t="str">
        <f>"田必慧"</f>
        <v>田必慧</v>
      </c>
      <c r="D1752" s="4" t="str">
        <f>"2021012613"</f>
        <v>2021012613</v>
      </c>
      <c r="E1752" s="4" t="str">
        <f t="shared" si="205"/>
        <v>26</v>
      </c>
      <c r="F1752" s="4" t="str">
        <f>"13"</f>
        <v>13</v>
      </c>
      <c r="G1752" s="4" t="s">
        <v>12</v>
      </c>
      <c r="H1752" s="5">
        <v>0</v>
      </c>
      <c r="I1752" s="6" t="s">
        <v>13</v>
      </c>
      <c r="J1752" s="4">
        <f>SUMPRODUCT(--((A1752=$A$3:$A$2785)*$H$3:$H$2785&gt;H1752))+1</f>
        <v>121</v>
      </c>
    </row>
    <row r="1753" s="1" customFormat="true" customHeight="true" spans="1:10">
      <c r="A1753" s="4" t="str">
        <f t="shared" si="206"/>
        <v>022</v>
      </c>
      <c r="B1753" s="4" t="s">
        <v>34</v>
      </c>
      <c r="C1753" s="4" t="str">
        <f>"梁艳梅"</f>
        <v>梁艳梅</v>
      </c>
      <c r="D1753" s="4" t="str">
        <f>"2021012617"</f>
        <v>2021012617</v>
      </c>
      <c r="E1753" s="4" t="str">
        <f t="shared" si="205"/>
        <v>26</v>
      </c>
      <c r="F1753" s="4" t="str">
        <f>"17"</f>
        <v>17</v>
      </c>
      <c r="G1753" s="4" t="s">
        <v>12</v>
      </c>
      <c r="H1753" s="5">
        <v>0</v>
      </c>
      <c r="I1753" s="6" t="s">
        <v>13</v>
      </c>
      <c r="J1753" s="4">
        <f>SUMPRODUCT(--((A1753=$A$3:$A$2785)*$H$3:$H$2785&gt;H1753))+1</f>
        <v>121</v>
      </c>
    </row>
    <row r="1754" s="1" customFormat="true" customHeight="true" spans="1:10">
      <c r="A1754" s="4" t="str">
        <f t="shared" si="206"/>
        <v>022</v>
      </c>
      <c r="B1754" s="4" t="s">
        <v>34</v>
      </c>
      <c r="C1754" s="4" t="str">
        <f>"彭靖"</f>
        <v>彭靖</v>
      </c>
      <c r="D1754" s="4" t="str">
        <f>"2021012622"</f>
        <v>2021012622</v>
      </c>
      <c r="E1754" s="4" t="str">
        <f t="shared" si="205"/>
        <v>26</v>
      </c>
      <c r="F1754" s="4" t="str">
        <f>"22"</f>
        <v>22</v>
      </c>
      <c r="G1754" s="4" t="s">
        <v>12</v>
      </c>
      <c r="H1754" s="5">
        <v>0</v>
      </c>
      <c r="I1754" s="6" t="s">
        <v>13</v>
      </c>
      <c r="J1754" s="4">
        <f>SUMPRODUCT(--((A1754=$A$3:$A$2785)*$H$3:$H$2785&gt;H1754))+1</f>
        <v>121</v>
      </c>
    </row>
    <row r="1755" s="1" customFormat="true" customHeight="true" spans="1:10">
      <c r="A1755" s="4" t="str">
        <f t="shared" si="206"/>
        <v>022</v>
      </c>
      <c r="B1755" s="4" t="s">
        <v>34</v>
      </c>
      <c r="C1755" s="4" t="str">
        <f>"向姣"</f>
        <v>向姣</v>
      </c>
      <c r="D1755" s="4" t="str">
        <f>"2021012623"</f>
        <v>2021012623</v>
      </c>
      <c r="E1755" s="4" t="str">
        <f t="shared" si="205"/>
        <v>26</v>
      </c>
      <c r="F1755" s="4" t="str">
        <f>"23"</f>
        <v>23</v>
      </c>
      <c r="G1755" s="4" t="s">
        <v>12</v>
      </c>
      <c r="H1755" s="5">
        <v>0</v>
      </c>
      <c r="I1755" s="6" t="s">
        <v>13</v>
      </c>
      <c r="J1755" s="4">
        <f>SUMPRODUCT(--((A1755=$A$3:$A$2785)*$H$3:$H$2785&gt;H1755))+1</f>
        <v>121</v>
      </c>
    </row>
    <row r="1756" s="1" customFormat="true" customHeight="true" spans="1:10">
      <c r="A1756" s="4" t="str">
        <f t="shared" si="206"/>
        <v>022</v>
      </c>
      <c r="B1756" s="4" t="s">
        <v>34</v>
      </c>
      <c r="C1756" s="4" t="str">
        <f>"吴石卉"</f>
        <v>吴石卉</v>
      </c>
      <c r="D1756" s="4" t="str">
        <f>"2021012624"</f>
        <v>2021012624</v>
      </c>
      <c r="E1756" s="4" t="str">
        <f t="shared" si="205"/>
        <v>26</v>
      </c>
      <c r="F1756" s="4" t="str">
        <f>"24"</f>
        <v>24</v>
      </c>
      <c r="G1756" s="4" t="s">
        <v>12</v>
      </c>
      <c r="H1756" s="5">
        <v>0</v>
      </c>
      <c r="I1756" s="6" t="s">
        <v>13</v>
      </c>
      <c r="J1756" s="4">
        <f>SUMPRODUCT(--((A1756=$A$3:$A$2785)*$H$3:$H$2785&gt;H1756))+1</f>
        <v>121</v>
      </c>
    </row>
    <row r="1757" s="1" customFormat="true" customHeight="true" spans="1:10">
      <c r="A1757" s="4" t="str">
        <f t="shared" si="206"/>
        <v>022</v>
      </c>
      <c r="B1757" s="4" t="s">
        <v>34</v>
      </c>
      <c r="C1757" s="4" t="str">
        <f>"姚昀含"</f>
        <v>姚昀含</v>
      </c>
      <c r="D1757" s="4" t="str">
        <f>"2021012626"</f>
        <v>2021012626</v>
      </c>
      <c r="E1757" s="4" t="str">
        <f t="shared" si="205"/>
        <v>26</v>
      </c>
      <c r="F1757" s="4" t="str">
        <f>"26"</f>
        <v>26</v>
      </c>
      <c r="G1757" s="4" t="s">
        <v>12</v>
      </c>
      <c r="H1757" s="5">
        <v>0</v>
      </c>
      <c r="I1757" s="6" t="s">
        <v>13</v>
      </c>
      <c r="J1757" s="4">
        <f>SUMPRODUCT(--((A1757=$A$3:$A$2785)*$H$3:$H$2785&gt;H1757))+1</f>
        <v>121</v>
      </c>
    </row>
    <row r="1758" s="1" customFormat="true" customHeight="true" spans="1:10">
      <c r="A1758" s="4" t="str">
        <f t="shared" si="206"/>
        <v>022</v>
      </c>
      <c r="B1758" s="4" t="s">
        <v>34</v>
      </c>
      <c r="C1758" s="4" t="str">
        <f>"谢鑫"</f>
        <v>谢鑫</v>
      </c>
      <c r="D1758" s="4" t="str">
        <f>"2021012628"</f>
        <v>2021012628</v>
      </c>
      <c r="E1758" s="4" t="str">
        <f t="shared" si="205"/>
        <v>26</v>
      </c>
      <c r="F1758" s="4" t="str">
        <f>"28"</f>
        <v>28</v>
      </c>
      <c r="G1758" s="4" t="s">
        <v>12</v>
      </c>
      <c r="H1758" s="5">
        <v>0</v>
      </c>
      <c r="I1758" s="6" t="s">
        <v>13</v>
      </c>
      <c r="J1758" s="4">
        <f>SUMPRODUCT(--((A1758=$A$3:$A$2785)*$H$3:$H$2785&gt;H1758))+1</f>
        <v>121</v>
      </c>
    </row>
    <row r="1759" s="1" customFormat="true" customHeight="true" spans="1:10">
      <c r="A1759" s="4" t="str">
        <f t="shared" si="206"/>
        <v>022</v>
      </c>
      <c r="B1759" s="4" t="s">
        <v>34</v>
      </c>
      <c r="C1759" s="4" t="str">
        <f>"周颖"</f>
        <v>周颖</v>
      </c>
      <c r="D1759" s="4" t="str">
        <f>"2021012629"</f>
        <v>2021012629</v>
      </c>
      <c r="E1759" s="4" t="str">
        <f t="shared" si="205"/>
        <v>26</v>
      </c>
      <c r="F1759" s="4" t="str">
        <f>"29"</f>
        <v>29</v>
      </c>
      <c r="G1759" s="4" t="s">
        <v>12</v>
      </c>
      <c r="H1759" s="5">
        <v>0</v>
      </c>
      <c r="I1759" s="6" t="s">
        <v>13</v>
      </c>
      <c r="J1759" s="4">
        <f>SUMPRODUCT(--((A1759=$A$3:$A$2785)*$H$3:$H$2785&gt;H1759))+1</f>
        <v>121</v>
      </c>
    </row>
    <row r="1760" s="1" customFormat="true" customHeight="true" spans="1:10">
      <c r="A1760" s="4" t="str">
        <f t="shared" si="206"/>
        <v>022</v>
      </c>
      <c r="B1760" s="4" t="s">
        <v>34</v>
      </c>
      <c r="C1760" s="4" t="str">
        <f>"张婧慧"</f>
        <v>张婧慧</v>
      </c>
      <c r="D1760" s="4" t="str">
        <f>"2021012701"</f>
        <v>2021012701</v>
      </c>
      <c r="E1760" s="4" t="str">
        <f t="shared" ref="E1760:E1778" si="207">"27"</f>
        <v>27</v>
      </c>
      <c r="F1760" s="4" t="str">
        <f>"01"</f>
        <v>01</v>
      </c>
      <c r="G1760" s="4" t="s">
        <v>12</v>
      </c>
      <c r="H1760" s="5">
        <v>0</v>
      </c>
      <c r="I1760" s="6" t="s">
        <v>13</v>
      </c>
      <c r="J1760" s="4">
        <f>SUMPRODUCT(--((A1760=$A$3:$A$2785)*$H$3:$H$2785&gt;H1760))+1</f>
        <v>121</v>
      </c>
    </row>
    <row r="1761" s="1" customFormat="true" customHeight="true" spans="1:10">
      <c r="A1761" s="4" t="str">
        <f t="shared" si="206"/>
        <v>022</v>
      </c>
      <c r="B1761" s="4" t="s">
        <v>34</v>
      </c>
      <c r="C1761" s="4" t="str">
        <f>"田颖"</f>
        <v>田颖</v>
      </c>
      <c r="D1761" s="4" t="str">
        <f>"2021012703"</f>
        <v>2021012703</v>
      </c>
      <c r="E1761" s="4" t="str">
        <f t="shared" si="207"/>
        <v>27</v>
      </c>
      <c r="F1761" s="4" t="str">
        <f>"03"</f>
        <v>03</v>
      </c>
      <c r="G1761" s="4" t="s">
        <v>12</v>
      </c>
      <c r="H1761" s="5">
        <v>0</v>
      </c>
      <c r="I1761" s="6" t="s">
        <v>13</v>
      </c>
      <c r="J1761" s="4">
        <f>SUMPRODUCT(--((A1761=$A$3:$A$2785)*$H$3:$H$2785&gt;H1761))+1</f>
        <v>121</v>
      </c>
    </row>
    <row r="1762" s="1" customFormat="true" customHeight="true" spans="1:10">
      <c r="A1762" s="4" t="str">
        <f t="shared" si="206"/>
        <v>022</v>
      </c>
      <c r="B1762" s="4" t="s">
        <v>34</v>
      </c>
      <c r="C1762" s="4" t="str">
        <f>"李建波"</f>
        <v>李建波</v>
      </c>
      <c r="D1762" s="4" t="str">
        <f>"2021012704"</f>
        <v>2021012704</v>
      </c>
      <c r="E1762" s="4" t="str">
        <f t="shared" si="207"/>
        <v>27</v>
      </c>
      <c r="F1762" s="4" t="str">
        <f>"04"</f>
        <v>04</v>
      </c>
      <c r="G1762" s="4" t="s">
        <v>12</v>
      </c>
      <c r="H1762" s="5">
        <v>0</v>
      </c>
      <c r="I1762" s="6" t="s">
        <v>13</v>
      </c>
      <c r="J1762" s="4">
        <f>SUMPRODUCT(--((A1762=$A$3:$A$2785)*$H$3:$H$2785&gt;H1762))+1</f>
        <v>121</v>
      </c>
    </row>
    <row r="1763" s="1" customFormat="true" customHeight="true" spans="1:10">
      <c r="A1763" s="4" t="str">
        <f t="shared" si="206"/>
        <v>022</v>
      </c>
      <c r="B1763" s="4" t="s">
        <v>34</v>
      </c>
      <c r="C1763" s="4" t="str">
        <f>"唐梦琴"</f>
        <v>唐梦琴</v>
      </c>
      <c r="D1763" s="4" t="str">
        <f>"2021012707"</f>
        <v>2021012707</v>
      </c>
      <c r="E1763" s="4" t="str">
        <f t="shared" si="207"/>
        <v>27</v>
      </c>
      <c r="F1763" s="4" t="str">
        <f>"07"</f>
        <v>07</v>
      </c>
      <c r="G1763" s="4" t="s">
        <v>12</v>
      </c>
      <c r="H1763" s="5">
        <v>0</v>
      </c>
      <c r="I1763" s="6" t="s">
        <v>13</v>
      </c>
      <c r="J1763" s="4">
        <f>SUMPRODUCT(--((A1763=$A$3:$A$2785)*$H$3:$H$2785&gt;H1763))+1</f>
        <v>121</v>
      </c>
    </row>
    <row r="1764" s="1" customFormat="true" customHeight="true" spans="1:10">
      <c r="A1764" s="4" t="str">
        <f t="shared" si="206"/>
        <v>022</v>
      </c>
      <c r="B1764" s="4" t="s">
        <v>34</v>
      </c>
      <c r="C1764" s="4" t="str">
        <f>"周娜娜"</f>
        <v>周娜娜</v>
      </c>
      <c r="D1764" s="4" t="str">
        <f>"2021012708"</f>
        <v>2021012708</v>
      </c>
      <c r="E1764" s="4" t="str">
        <f t="shared" si="207"/>
        <v>27</v>
      </c>
      <c r="F1764" s="4" t="str">
        <f>"08"</f>
        <v>08</v>
      </c>
      <c r="G1764" s="4" t="s">
        <v>12</v>
      </c>
      <c r="H1764" s="5">
        <v>0</v>
      </c>
      <c r="I1764" s="6" t="s">
        <v>13</v>
      </c>
      <c r="J1764" s="4">
        <f>SUMPRODUCT(--((A1764=$A$3:$A$2785)*$H$3:$H$2785&gt;H1764))+1</f>
        <v>121</v>
      </c>
    </row>
    <row r="1765" s="1" customFormat="true" customHeight="true" spans="1:10">
      <c r="A1765" s="4" t="str">
        <f t="shared" si="206"/>
        <v>022</v>
      </c>
      <c r="B1765" s="4" t="s">
        <v>34</v>
      </c>
      <c r="C1765" s="4" t="str">
        <f>"张倩"</f>
        <v>张倩</v>
      </c>
      <c r="D1765" s="4" t="str">
        <f>"2021012709"</f>
        <v>2021012709</v>
      </c>
      <c r="E1765" s="4" t="str">
        <f t="shared" si="207"/>
        <v>27</v>
      </c>
      <c r="F1765" s="4" t="str">
        <f>"09"</f>
        <v>09</v>
      </c>
      <c r="G1765" s="4" t="s">
        <v>12</v>
      </c>
      <c r="H1765" s="5">
        <v>0</v>
      </c>
      <c r="I1765" s="6" t="s">
        <v>13</v>
      </c>
      <c r="J1765" s="4">
        <f>SUMPRODUCT(--((A1765=$A$3:$A$2785)*$H$3:$H$2785&gt;H1765))+1</f>
        <v>121</v>
      </c>
    </row>
    <row r="1766" s="1" customFormat="true" customHeight="true" spans="1:10">
      <c r="A1766" s="4" t="str">
        <f t="shared" si="206"/>
        <v>022</v>
      </c>
      <c r="B1766" s="4" t="s">
        <v>34</v>
      </c>
      <c r="C1766" s="4" t="str">
        <f>"李姣"</f>
        <v>李姣</v>
      </c>
      <c r="D1766" s="4" t="str">
        <f>"2021012710"</f>
        <v>2021012710</v>
      </c>
      <c r="E1766" s="4" t="str">
        <f t="shared" si="207"/>
        <v>27</v>
      </c>
      <c r="F1766" s="4" t="str">
        <f>"10"</f>
        <v>10</v>
      </c>
      <c r="G1766" s="4" t="s">
        <v>12</v>
      </c>
      <c r="H1766" s="5">
        <v>0</v>
      </c>
      <c r="I1766" s="6" t="s">
        <v>13</v>
      </c>
      <c r="J1766" s="4">
        <f>SUMPRODUCT(--((A1766=$A$3:$A$2785)*$H$3:$H$2785&gt;H1766))+1</f>
        <v>121</v>
      </c>
    </row>
    <row r="1767" s="1" customFormat="true" customHeight="true" spans="1:10">
      <c r="A1767" s="4" t="str">
        <f t="shared" si="206"/>
        <v>022</v>
      </c>
      <c r="B1767" s="4" t="s">
        <v>34</v>
      </c>
      <c r="C1767" s="4" t="str">
        <f>"储君萍"</f>
        <v>储君萍</v>
      </c>
      <c r="D1767" s="4" t="str">
        <f>"2021012711"</f>
        <v>2021012711</v>
      </c>
      <c r="E1767" s="4" t="str">
        <f t="shared" si="207"/>
        <v>27</v>
      </c>
      <c r="F1767" s="4" t="str">
        <f>"11"</f>
        <v>11</v>
      </c>
      <c r="G1767" s="4" t="s">
        <v>12</v>
      </c>
      <c r="H1767" s="5">
        <v>0</v>
      </c>
      <c r="I1767" s="6" t="s">
        <v>13</v>
      </c>
      <c r="J1767" s="4">
        <f>SUMPRODUCT(--((A1767=$A$3:$A$2785)*$H$3:$H$2785&gt;H1767))+1</f>
        <v>121</v>
      </c>
    </row>
    <row r="1768" s="1" customFormat="true" customHeight="true" spans="1:10">
      <c r="A1768" s="4" t="str">
        <f t="shared" si="206"/>
        <v>022</v>
      </c>
      <c r="B1768" s="4" t="s">
        <v>34</v>
      </c>
      <c r="C1768" s="4" t="str">
        <f>"杨欣芫"</f>
        <v>杨欣芫</v>
      </c>
      <c r="D1768" s="4" t="str">
        <f>"2021012716"</f>
        <v>2021012716</v>
      </c>
      <c r="E1768" s="4" t="str">
        <f t="shared" si="207"/>
        <v>27</v>
      </c>
      <c r="F1768" s="4" t="str">
        <f>"16"</f>
        <v>16</v>
      </c>
      <c r="G1768" s="4" t="s">
        <v>12</v>
      </c>
      <c r="H1768" s="5">
        <v>0</v>
      </c>
      <c r="I1768" s="6" t="s">
        <v>13</v>
      </c>
      <c r="J1768" s="4">
        <f>SUMPRODUCT(--((A1768=$A$3:$A$2785)*$H$3:$H$2785&gt;H1768))+1</f>
        <v>121</v>
      </c>
    </row>
    <row r="1769" s="1" customFormat="true" customHeight="true" spans="1:10">
      <c r="A1769" s="4" t="str">
        <f t="shared" si="206"/>
        <v>022</v>
      </c>
      <c r="B1769" s="4" t="s">
        <v>34</v>
      </c>
      <c r="C1769" s="4" t="str">
        <f>"刘文成"</f>
        <v>刘文成</v>
      </c>
      <c r="D1769" s="4" t="str">
        <f>"2021012717"</f>
        <v>2021012717</v>
      </c>
      <c r="E1769" s="4" t="str">
        <f t="shared" si="207"/>
        <v>27</v>
      </c>
      <c r="F1769" s="4" t="str">
        <f>"17"</f>
        <v>17</v>
      </c>
      <c r="G1769" s="4" t="s">
        <v>12</v>
      </c>
      <c r="H1769" s="5">
        <v>0</v>
      </c>
      <c r="I1769" s="6" t="s">
        <v>13</v>
      </c>
      <c r="J1769" s="4">
        <f>SUMPRODUCT(--((A1769=$A$3:$A$2785)*$H$3:$H$2785&gt;H1769))+1</f>
        <v>121</v>
      </c>
    </row>
    <row r="1770" s="1" customFormat="true" customHeight="true" spans="1:10">
      <c r="A1770" s="4" t="str">
        <f t="shared" si="206"/>
        <v>022</v>
      </c>
      <c r="B1770" s="4" t="s">
        <v>34</v>
      </c>
      <c r="C1770" s="4" t="str">
        <f>"张琰娟"</f>
        <v>张琰娟</v>
      </c>
      <c r="D1770" s="4" t="str">
        <f>"2021012718"</f>
        <v>2021012718</v>
      </c>
      <c r="E1770" s="4" t="str">
        <f t="shared" si="207"/>
        <v>27</v>
      </c>
      <c r="F1770" s="4" t="str">
        <f>"18"</f>
        <v>18</v>
      </c>
      <c r="G1770" s="4" t="s">
        <v>12</v>
      </c>
      <c r="H1770" s="5">
        <v>0</v>
      </c>
      <c r="I1770" s="6" t="s">
        <v>13</v>
      </c>
      <c r="J1770" s="4">
        <f>SUMPRODUCT(--((A1770=$A$3:$A$2785)*$H$3:$H$2785&gt;H1770))+1</f>
        <v>121</v>
      </c>
    </row>
    <row r="1771" s="1" customFormat="true" customHeight="true" spans="1:10">
      <c r="A1771" s="4" t="str">
        <f t="shared" si="206"/>
        <v>022</v>
      </c>
      <c r="B1771" s="4" t="s">
        <v>34</v>
      </c>
      <c r="C1771" s="4" t="str">
        <f>"沈静"</f>
        <v>沈静</v>
      </c>
      <c r="D1771" s="4" t="str">
        <f>"2021012719"</f>
        <v>2021012719</v>
      </c>
      <c r="E1771" s="4" t="str">
        <f t="shared" si="207"/>
        <v>27</v>
      </c>
      <c r="F1771" s="4" t="str">
        <f>"19"</f>
        <v>19</v>
      </c>
      <c r="G1771" s="4" t="s">
        <v>12</v>
      </c>
      <c r="H1771" s="5">
        <v>0</v>
      </c>
      <c r="I1771" s="6" t="s">
        <v>13</v>
      </c>
      <c r="J1771" s="4">
        <f>SUMPRODUCT(--((A1771=$A$3:$A$2785)*$H$3:$H$2785&gt;H1771))+1</f>
        <v>121</v>
      </c>
    </row>
    <row r="1772" s="1" customFormat="true" customHeight="true" spans="1:10">
      <c r="A1772" s="4" t="str">
        <f t="shared" si="206"/>
        <v>022</v>
      </c>
      <c r="B1772" s="4" t="s">
        <v>34</v>
      </c>
      <c r="C1772" s="4" t="str">
        <f>"包俊颖"</f>
        <v>包俊颖</v>
      </c>
      <c r="D1772" s="4" t="str">
        <f>"2021012721"</f>
        <v>2021012721</v>
      </c>
      <c r="E1772" s="4" t="str">
        <f t="shared" si="207"/>
        <v>27</v>
      </c>
      <c r="F1772" s="4" t="str">
        <f>"21"</f>
        <v>21</v>
      </c>
      <c r="G1772" s="4" t="s">
        <v>12</v>
      </c>
      <c r="H1772" s="5">
        <v>0</v>
      </c>
      <c r="I1772" s="6" t="s">
        <v>13</v>
      </c>
      <c r="J1772" s="4">
        <f>SUMPRODUCT(--((A1772=$A$3:$A$2785)*$H$3:$H$2785&gt;H1772))+1</f>
        <v>121</v>
      </c>
    </row>
    <row r="1773" s="1" customFormat="true" customHeight="true" spans="1:10">
      <c r="A1773" s="4" t="str">
        <f t="shared" si="206"/>
        <v>022</v>
      </c>
      <c r="B1773" s="4" t="s">
        <v>34</v>
      </c>
      <c r="C1773" s="4" t="str">
        <f>"向吉刚"</f>
        <v>向吉刚</v>
      </c>
      <c r="D1773" s="4" t="str">
        <f>"2021012722"</f>
        <v>2021012722</v>
      </c>
      <c r="E1773" s="4" t="str">
        <f t="shared" si="207"/>
        <v>27</v>
      </c>
      <c r="F1773" s="4" t="str">
        <f>"22"</f>
        <v>22</v>
      </c>
      <c r="G1773" s="4" t="s">
        <v>12</v>
      </c>
      <c r="H1773" s="5">
        <v>0</v>
      </c>
      <c r="I1773" s="6" t="s">
        <v>13</v>
      </c>
      <c r="J1773" s="4">
        <f>SUMPRODUCT(--((A1773=$A$3:$A$2785)*$H$3:$H$2785&gt;H1773))+1</f>
        <v>121</v>
      </c>
    </row>
    <row r="1774" s="1" customFormat="true" customHeight="true" spans="1:10">
      <c r="A1774" s="4" t="str">
        <f t="shared" si="206"/>
        <v>022</v>
      </c>
      <c r="B1774" s="4" t="s">
        <v>34</v>
      </c>
      <c r="C1774" s="4" t="str">
        <f>"蒋思虹"</f>
        <v>蒋思虹</v>
      </c>
      <c r="D1774" s="4" t="str">
        <f>"2021012724"</f>
        <v>2021012724</v>
      </c>
      <c r="E1774" s="4" t="str">
        <f t="shared" si="207"/>
        <v>27</v>
      </c>
      <c r="F1774" s="4" t="str">
        <f>"24"</f>
        <v>24</v>
      </c>
      <c r="G1774" s="4" t="s">
        <v>12</v>
      </c>
      <c r="H1774" s="5">
        <v>0</v>
      </c>
      <c r="I1774" s="6" t="s">
        <v>13</v>
      </c>
      <c r="J1774" s="4">
        <f>SUMPRODUCT(--((A1774=$A$3:$A$2785)*$H$3:$H$2785&gt;H1774))+1</f>
        <v>121</v>
      </c>
    </row>
    <row r="1775" s="1" customFormat="true" customHeight="true" spans="1:10">
      <c r="A1775" s="4" t="str">
        <f t="shared" si="206"/>
        <v>022</v>
      </c>
      <c r="B1775" s="4" t="s">
        <v>34</v>
      </c>
      <c r="C1775" s="4" t="str">
        <f>"杨紫胭"</f>
        <v>杨紫胭</v>
      </c>
      <c r="D1775" s="4" t="str">
        <f>"2021012727"</f>
        <v>2021012727</v>
      </c>
      <c r="E1775" s="4" t="str">
        <f t="shared" si="207"/>
        <v>27</v>
      </c>
      <c r="F1775" s="4" t="str">
        <f>"27"</f>
        <v>27</v>
      </c>
      <c r="G1775" s="4" t="s">
        <v>12</v>
      </c>
      <c r="H1775" s="5">
        <v>0</v>
      </c>
      <c r="I1775" s="6" t="s">
        <v>13</v>
      </c>
      <c r="J1775" s="4">
        <f>SUMPRODUCT(--((A1775=$A$3:$A$2785)*$H$3:$H$2785&gt;H1775))+1</f>
        <v>121</v>
      </c>
    </row>
    <row r="1776" s="1" customFormat="true" customHeight="true" spans="1:10">
      <c r="A1776" s="4" t="str">
        <f t="shared" si="206"/>
        <v>022</v>
      </c>
      <c r="B1776" s="4" t="s">
        <v>34</v>
      </c>
      <c r="C1776" s="4" t="str">
        <f>"钟倩"</f>
        <v>钟倩</v>
      </c>
      <c r="D1776" s="4" t="str">
        <f>"2021012728"</f>
        <v>2021012728</v>
      </c>
      <c r="E1776" s="4" t="str">
        <f t="shared" si="207"/>
        <v>27</v>
      </c>
      <c r="F1776" s="4" t="str">
        <f>"28"</f>
        <v>28</v>
      </c>
      <c r="G1776" s="4" t="s">
        <v>12</v>
      </c>
      <c r="H1776" s="5">
        <v>0</v>
      </c>
      <c r="I1776" s="6" t="s">
        <v>13</v>
      </c>
      <c r="J1776" s="4">
        <f>SUMPRODUCT(--((A1776=$A$3:$A$2785)*$H$3:$H$2785&gt;H1776))+1</f>
        <v>121</v>
      </c>
    </row>
    <row r="1777" s="1" customFormat="true" customHeight="true" spans="1:10">
      <c r="A1777" s="4" t="str">
        <f t="shared" si="206"/>
        <v>022</v>
      </c>
      <c r="B1777" s="4" t="s">
        <v>34</v>
      </c>
      <c r="C1777" s="4" t="str">
        <f>"姚静"</f>
        <v>姚静</v>
      </c>
      <c r="D1777" s="4" t="str">
        <f>"2021012729"</f>
        <v>2021012729</v>
      </c>
      <c r="E1777" s="4" t="str">
        <f t="shared" si="207"/>
        <v>27</v>
      </c>
      <c r="F1777" s="4" t="str">
        <f>"29"</f>
        <v>29</v>
      </c>
      <c r="G1777" s="4" t="s">
        <v>12</v>
      </c>
      <c r="H1777" s="5">
        <v>0</v>
      </c>
      <c r="I1777" s="6" t="s">
        <v>13</v>
      </c>
      <c r="J1777" s="4">
        <f>SUMPRODUCT(--((A1777=$A$3:$A$2785)*$H$3:$H$2785&gt;H1777))+1</f>
        <v>121</v>
      </c>
    </row>
    <row r="1778" s="1" customFormat="true" customHeight="true" spans="1:10">
      <c r="A1778" s="4" t="str">
        <f t="shared" si="206"/>
        <v>022</v>
      </c>
      <c r="B1778" s="4" t="s">
        <v>34</v>
      </c>
      <c r="C1778" s="4" t="str">
        <f>"唐倩"</f>
        <v>唐倩</v>
      </c>
      <c r="D1778" s="4" t="str">
        <f>"2021012730"</f>
        <v>2021012730</v>
      </c>
      <c r="E1778" s="4" t="str">
        <f t="shared" si="207"/>
        <v>27</v>
      </c>
      <c r="F1778" s="4" t="str">
        <f>"30"</f>
        <v>30</v>
      </c>
      <c r="G1778" s="4" t="s">
        <v>12</v>
      </c>
      <c r="H1778" s="5">
        <v>0</v>
      </c>
      <c r="I1778" s="6" t="s">
        <v>13</v>
      </c>
      <c r="J1778" s="4">
        <f>SUMPRODUCT(--((A1778=$A$3:$A$2785)*$H$3:$H$2785&gt;H1778))+1</f>
        <v>121</v>
      </c>
    </row>
    <row r="1779" s="1" customFormat="true" customHeight="true" spans="1:10">
      <c r="A1779" s="4" t="str">
        <f t="shared" si="206"/>
        <v>022</v>
      </c>
      <c r="B1779" s="4" t="s">
        <v>34</v>
      </c>
      <c r="C1779" s="4" t="str">
        <f>"张思玲"</f>
        <v>张思玲</v>
      </c>
      <c r="D1779" s="4" t="str">
        <f>"2021012802"</f>
        <v>2021012802</v>
      </c>
      <c r="E1779" s="4" t="str">
        <f t="shared" ref="E1779:E1798" si="208">"28"</f>
        <v>28</v>
      </c>
      <c r="F1779" s="4" t="str">
        <f>"02"</f>
        <v>02</v>
      </c>
      <c r="G1779" s="4" t="s">
        <v>12</v>
      </c>
      <c r="H1779" s="5">
        <v>0</v>
      </c>
      <c r="I1779" s="6" t="s">
        <v>13</v>
      </c>
      <c r="J1779" s="4">
        <f>SUMPRODUCT(--((A1779=$A$3:$A$2785)*$H$3:$H$2785&gt;H1779))+1</f>
        <v>121</v>
      </c>
    </row>
    <row r="1780" s="1" customFormat="true" customHeight="true" spans="1:10">
      <c r="A1780" s="4" t="str">
        <f t="shared" si="206"/>
        <v>022</v>
      </c>
      <c r="B1780" s="4" t="s">
        <v>34</v>
      </c>
      <c r="C1780" s="4" t="str">
        <f>"欧阳玲"</f>
        <v>欧阳玲</v>
      </c>
      <c r="D1780" s="4" t="str">
        <f>"2021012806"</f>
        <v>2021012806</v>
      </c>
      <c r="E1780" s="4" t="str">
        <f t="shared" si="208"/>
        <v>28</v>
      </c>
      <c r="F1780" s="4" t="str">
        <f>"06"</f>
        <v>06</v>
      </c>
      <c r="G1780" s="4" t="s">
        <v>12</v>
      </c>
      <c r="H1780" s="5">
        <v>0</v>
      </c>
      <c r="I1780" s="6" t="s">
        <v>13</v>
      </c>
      <c r="J1780" s="4">
        <f>SUMPRODUCT(--((A1780=$A$3:$A$2785)*$H$3:$H$2785&gt;H1780))+1</f>
        <v>121</v>
      </c>
    </row>
    <row r="1781" s="1" customFormat="true" customHeight="true" spans="1:10">
      <c r="A1781" s="4" t="str">
        <f t="shared" si="206"/>
        <v>022</v>
      </c>
      <c r="B1781" s="4" t="s">
        <v>34</v>
      </c>
      <c r="C1781" s="4" t="str">
        <f>"刘睿杰"</f>
        <v>刘睿杰</v>
      </c>
      <c r="D1781" s="4" t="str">
        <f>"2021012807"</f>
        <v>2021012807</v>
      </c>
      <c r="E1781" s="4" t="str">
        <f t="shared" si="208"/>
        <v>28</v>
      </c>
      <c r="F1781" s="4" t="str">
        <f>"07"</f>
        <v>07</v>
      </c>
      <c r="G1781" s="4" t="s">
        <v>12</v>
      </c>
      <c r="H1781" s="5">
        <v>0</v>
      </c>
      <c r="I1781" s="6" t="s">
        <v>13</v>
      </c>
      <c r="J1781" s="4">
        <f>SUMPRODUCT(--((A1781=$A$3:$A$2785)*$H$3:$H$2785&gt;H1781))+1</f>
        <v>121</v>
      </c>
    </row>
    <row r="1782" s="1" customFormat="true" customHeight="true" spans="1:10">
      <c r="A1782" s="4" t="str">
        <f t="shared" si="206"/>
        <v>022</v>
      </c>
      <c r="B1782" s="4" t="s">
        <v>34</v>
      </c>
      <c r="C1782" s="4" t="str">
        <f>"陈莹"</f>
        <v>陈莹</v>
      </c>
      <c r="D1782" s="4" t="str">
        <f>"2021012809"</f>
        <v>2021012809</v>
      </c>
      <c r="E1782" s="4" t="str">
        <f t="shared" si="208"/>
        <v>28</v>
      </c>
      <c r="F1782" s="4" t="str">
        <f>"09"</f>
        <v>09</v>
      </c>
      <c r="G1782" s="4" t="s">
        <v>12</v>
      </c>
      <c r="H1782" s="5">
        <v>0</v>
      </c>
      <c r="I1782" s="6" t="s">
        <v>13</v>
      </c>
      <c r="J1782" s="4">
        <f>SUMPRODUCT(--((A1782=$A$3:$A$2785)*$H$3:$H$2785&gt;H1782))+1</f>
        <v>121</v>
      </c>
    </row>
    <row r="1783" s="1" customFormat="true" customHeight="true" spans="1:10">
      <c r="A1783" s="4" t="str">
        <f t="shared" si="206"/>
        <v>022</v>
      </c>
      <c r="B1783" s="4" t="s">
        <v>34</v>
      </c>
      <c r="C1783" s="4" t="str">
        <f>"阳永建"</f>
        <v>阳永建</v>
      </c>
      <c r="D1783" s="4" t="str">
        <f>"2021012810"</f>
        <v>2021012810</v>
      </c>
      <c r="E1783" s="4" t="str">
        <f t="shared" si="208"/>
        <v>28</v>
      </c>
      <c r="F1783" s="4" t="str">
        <f>"10"</f>
        <v>10</v>
      </c>
      <c r="G1783" s="4" t="s">
        <v>12</v>
      </c>
      <c r="H1783" s="5">
        <v>0</v>
      </c>
      <c r="I1783" s="6" t="s">
        <v>13</v>
      </c>
      <c r="J1783" s="4">
        <f>SUMPRODUCT(--((A1783=$A$3:$A$2785)*$H$3:$H$2785&gt;H1783))+1</f>
        <v>121</v>
      </c>
    </row>
    <row r="1784" s="1" customFormat="true" customHeight="true" spans="1:10">
      <c r="A1784" s="4" t="str">
        <f t="shared" si="206"/>
        <v>022</v>
      </c>
      <c r="B1784" s="4" t="s">
        <v>34</v>
      </c>
      <c r="C1784" s="4" t="str">
        <f>"彭春霞"</f>
        <v>彭春霞</v>
      </c>
      <c r="D1784" s="4" t="str">
        <f>"2021012811"</f>
        <v>2021012811</v>
      </c>
      <c r="E1784" s="4" t="str">
        <f t="shared" si="208"/>
        <v>28</v>
      </c>
      <c r="F1784" s="4" t="str">
        <f>"11"</f>
        <v>11</v>
      </c>
      <c r="G1784" s="4" t="s">
        <v>12</v>
      </c>
      <c r="H1784" s="5">
        <v>0</v>
      </c>
      <c r="I1784" s="6" t="s">
        <v>13</v>
      </c>
      <c r="J1784" s="4">
        <f>SUMPRODUCT(--((A1784=$A$3:$A$2785)*$H$3:$H$2785&gt;H1784))+1</f>
        <v>121</v>
      </c>
    </row>
    <row r="1785" s="1" customFormat="true" customHeight="true" spans="1:10">
      <c r="A1785" s="4" t="str">
        <f t="shared" si="206"/>
        <v>022</v>
      </c>
      <c r="B1785" s="4" t="s">
        <v>34</v>
      </c>
      <c r="C1785" s="4" t="str">
        <f>"杨艳霞"</f>
        <v>杨艳霞</v>
      </c>
      <c r="D1785" s="4" t="str">
        <f>"2021012812"</f>
        <v>2021012812</v>
      </c>
      <c r="E1785" s="4" t="str">
        <f t="shared" si="208"/>
        <v>28</v>
      </c>
      <c r="F1785" s="4" t="str">
        <f>"12"</f>
        <v>12</v>
      </c>
      <c r="G1785" s="4" t="s">
        <v>12</v>
      </c>
      <c r="H1785" s="5">
        <v>0</v>
      </c>
      <c r="I1785" s="6" t="s">
        <v>13</v>
      </c>
      <c r="J1785" s="4">
        <f>SUMPRODUCT(--((A1785=$A$3:$A$2785)*$H$3:$H$2785&gt;H1785))+1</f>
        <v>121</v>
      </c>
    </row>
    <row r="1786" s="1" customFormat="true" customHeight="true" spans="1:10">
      <c r="A1786" s="4" t="str">
        <f t="shared" si="206"/>
        <v>022</v>
      </c>
      <c r="B1786" s="4" t="s">
        <v>34</v>
      </c>
      <c r="C1786" s="4" t="str">
        <f>"胡静"</f>
        <v>胡静</v>
      </c>
      <c r="D1786" s="4" t="str">
        <f>"2021012813"</f>
        <v>2021012813</v>
      </c>
      <c r="E1786" s="4" t="str">
        <f t="shared" si="208"/>
        <v>28</v>
      </c>
      <c r="F1786" s="4" t="str">
        <f>"13"</f>
        <v>13</v>
      </c>
      <c r="G1786" s="4" t="s">
        <v>12</v>
      </c>
      <c r="H1786" s="5">
        <v>0</v>
      </c>
      <c r="I1786" s="6" t="s">
        <v>13</v>
      </c>
      <c r="J1786" s="4">
        <f>SUMPRODUCT(--((A1786=$A$3:$A$2785)*$H$3:$H$2785&gt;H1786))+1</f>
        <v>121</v>
      </c>
    </row>
    <row r="1787" s="1" customFormat="true" customHeight="true" spans="1:10">
      <c r="A1787" s="4" t="str">
        <f t="shared" si="206"/>
        <v>022</v>
      </c>
      <c r="B1787" s="4" t="s">
        <v>34</v>
      </c>
      <c r="C1787" s="4" t="str">
        <f>"高淑芬"</f>
        <v>高淑芬</v>
      </c>
      <c r="D1787" s="4" t="str">
        <f>"2021012815"</f>
        <v>2021012815</v>
      </c>
      <c r="E1787" s="4" t="str">
        <f t="shared" si="208"/>
        <v>28</v>
      </c>
      <c r="F1787" s="4" t="str">
        <f>"15"</f>
        <v>15</v>
      </c>
      <c r="G1787" s="4" t="s">
        <v>12</v>
      </c>
      <c r="H1787" s="5">
        <v>0</v>
      </c>
      <c r="I1787" s="6" t="s">
        <v>13</v>
      </c>
      <c r="J1787" s="4">
        <f>SUMPRODUCT(--((A1787=$A$3:$A$2785)*$H$3:$H$2785&gt;H1787))+1</f>
        <v>121</v>
      </c>
    </row>
    <row r="1788" s="1" customFormat="true" customHeight="true" spans="1:10">
      <c r="A1788" s="4" t="str">
        <f t="shared" si="206"/>
        <v>022</v>
      </c>
      <c r="B1788" s="4" t="s">
        <v>34</v>
      </c>
      <c r="C1788" s="4" t="str">
        <f>"谭雅芝"</f>
        <v>谭雅芝</v>
      </c>
      <c r="D1788" s="4" t="str">
        <f>"2021012816"</f>
        <v>2021012816</v>
      </c>
      <c r="E1788" s="4" t="str">
        <f t="shared" si="208"/>
        <v>28</v>
      </c>
      <c r="F1788" s="4" t="str">
        <f>"16"</f>
        <v>16</v>
      </c>
      <c r="G1788" s="4" t="s">
        <v>12</v>
      </c>
      <c r="H1788" s="5">
        <v>0</v>
      </c>
      <c r="I1788" s="6" t="s">
        <v>13</v>
      </c>
      <c r="J1788" s="4">
        <f>SUMPRODUCT(--((A1788=$A$3:$A$2785)*$H$3:$H$2785&gt;H1788))+1</f>
        <v>121</v>
      </c>
    </row>
    <row r="1789" s="1" customFormat="true" customHeight="true" spans="1:10">
      <c r="A1789" s="4" t="str">
        <f t="shared" si="206"/>
        <v>022</v>
      </c>
      <c r="B1789" s="4" t="s">
        <v>34</v>
      </c>
      <c r="C1789" s="4" t="str">
        <f>"马紫烟"</f>
        <v>马紫烟</v>
      </c>
      <c r="D1789" s="4" t="str">
        <f>"2021012817"</f>
        <v>2021012817</v>
      </c>
      <c r="E1789" s="4" t="str">
        <f t="shared" si="208"/>
        <v>28</v>
      </c>
      <c r="F1789" s="4" t="str">
        <f>"17"</f>
        <v>17</v>
      </c>
      <c r="G1789" s="4" t="s">
        <v>12</v>
      </c>
      <c r="H1789" s="5">
        <v>0</v>
      </c>
      <c r="I1789" s="6" t="s">
        <v>13</v>
      </c>
      <c r="J1789" s="4">
        <f>SUMPRODUCT(--((A1789=$A$3:$A$2785)*$H$3:$H$2785&gt;H1789))+1</f>
        <v>121</v>
      </c>
    </row>
    <row r="1790" s="1" customFormat="true" customHeight="true" spans="1:10">
      <c r="A1790" s="4" t="str">
        <f t="shared" si="206"/>
        <v>022</v>
      </c>
      <c r="B1790" s="4" t="s">
        <v>34</v>
      </c>
      <c r="C1790" s="4" t="str">
        <f>"唐德华"</f>
        <v>唐德华</v>
      </c>
      <c r="D1790" s="4" t="str">
        <f>"2021012820"</f>
        <v>2021012820</v>
      </c>
      <c r="E1790" s="4" t="str">
        <f t="shared" si="208"/>
        <v>28</v>
      </c>
      <c r="F1790" s="4" t="str">
        <f>"20"</f>
        <v>20</v>
      </c>
      <c r="G1790" s="4" t="s">
        <v>12</v>
      </c>
      <c r="H1790" s="5">
        <v>0</v>
      </c>
      <c r="I1790" s="6" t="s">
        <v>13</v>
      </c>
      <c r="J1790" s="4">
        <f>SUMPRODUCT(--((A1790=$A$3:$A$2785)*$H$3:$H$2785&gt;H1790))+1</f>
        <v>121</v>
      </c>
    </row>
    <row r="1791" s="1" customFormat="true" customHeight="true" spans="1:10">
      <c r="A1791" s="4" t="str">
        <f t="shared" si="206"/>
        <v>022</v>
      </c>
      <c r="B1791" s="4" t="s">
        <v>34</v>
      </c>
      <c r="C1791" s="4" t="str">
        <f>"吴啟朋"</f>
        <v>吴啟朋</v>
      </c>
      <c r="D1791" s="4" t="str">
        <f>"2021012821"</f>
        <v>2021012821</v>
      </c>
      <c r="E1791" s="4" t="str">
        <f t="shared" si="208"/>
        <v>28</v>
      </c>
      <c r="F1791" s="4" t="str">
        <f>"21"</f>
        <v>21</v>
      </c>
      <c r="G1791" s="4" t="s">
        <v>12</v>
      </c>
      <c r="H1791" s="5">
        <v>0</v>
      </c>
      <c r="I1791" s="6" t="s">
        <v>13</v>
      </c>
      <c r="J1791" s="4">
        <f>SUMPRODUCT(--((A1791=$A$3:$A$2785)*$H$3:$H$2785&gt;H1791))+1</f>
        <v>121</v>
      </c>
    </row>
    <row r="1792" s="1" customFormat="true" customHeight="true" spans="1:10">
      <c r="A1792" s="4" t="str">
        <f t="shared" si="206"/>
        <v>022</v>
      </c>
      <c r="B1792" s="4" t="s">
        <v>34</v>
      </c>
      <c r="C1792" s="4" t="str">
        <f>"卿凤"</f>
        <v>卿凤</v>
      </c>
      <c r="D1792" s="4" t="str">
        <f>"2021012822"</f>
        <v>2021012822</v>
      </c>
      <c r="E1792" s="4" t="str">
        <f t="shared" si="208"/>
        <v>28</v>
      </c>
      <c r="F1792" s="4" t="str">
        <f>"22"</f>
        <v>22</v>
      </c>
      <c r="G1792" s="4" t="s">
        <v>12</v>
      </c>
      <c r="H1792" s="5">
        <v>0</v>
      </c>
      <c r="I1792" s="6" t="s">
        <v>13</v>
      </c>
      <c r="J1792" s="4">
        <f>SUMPRODUCT(--((A1792=$A$3:$A$2785)*$H$3:$H$2785&gt;H1792))+1</f>
        <v>121</v>
      </c>
    </row>
    <row r="1793" s="1" customFormat="true" customHeight="true" spans="1:10">
      <c r="A1793" s="4" t="str">
        <f t="shared" si="206"/>
        <v>022</v>
      </c>
      <c r="B1793" s="4" t="s">
        <v>34</v>
      </c>
      <c r="C1793" s="4" t="str">
        <f>"贺韵凌"</f>
        <v>贺韵凌</v>
      </c>
      <c r="D1793" s="4" t="str">
        <f>"2021012823"</f>
        <v>2021012823</v>
      </c>
      <c r="E1793" s="4" t="str">
        <f t="shared" si="208"/>
        <v>28</v>
      </c>
      <c r="F1793" s="4" t="str">
        <f>"23"</f>
        <v>23</v>
      </c>
      <c r="G1793" s="4" t="s">
        <v>12</v>
      </c>
      <c r="H1793" s="5">
        <v>0</v>
      </c>
      <c r="I1793" s="6" t="s">
        <v>13</v>
      </c>
      <c r="J1793" s="4">
        <f>SUMPRODUCT(--((A1793=$A$3:$A$2785)*$H$3:$H$2785&gt;H1793))+1</f>
        <v>121</v>
      </c>
    </row>
    <row r="1794" s="1" customFormat="true" customHeight="true" spans="1:10">
      <c r="A1794" s="4" t="str">
        <f t="shared" si="206"/>
        <v>022</v>
      </c>
      <c r="B1794" s="4" t="s">
        <v>34</v>
      </c>
      <c r="C1794" s="4" t="str">
        <f>"吴慧兰"</f>
        <v>吴慧兰</v>
      </c>
      <c r="D1794" s="4" t="str">
        <f>"2021012824"</f>
        <v>2021012824</v>
      </c>
      <c r="E1794" s="4" t="str">
        <f t="shared" si="208"/>
        <v>28</v>
      </c>
      <c r="F1794" s="4" t="str">
        <f>"24"</f>
        <v>24</v>
      </c>
      <c r="G1794" s="4" t="s">
        <v>12</v>
      </c>
      <c r="H1794" s="5">
        <v>0</v>
      </c>
      <c r="I1794" s="6" t="s">
        <v>13</v>
      </c>
      <c r="J1794" s="4">
        <f>SUMPRODUCT(--((A1794=$A$3:$A$2785)*$H$3:$H$2785&gt;H1794))+1</f>
        <v>121</v>
      </c>
    </row>
    <row r="1795" s="1" customFormat="true" customHeight="true" spans="1:10">
      <c r="A1795" s="4" t="str">
        <f t="shared" si="206"/>
        <v>022</v>
      </c>
      <c r="B1795" s="4" t="s">
        <v>34</v>
      </c>
      <c r="C1795" s="4" t="str">
        <f>"王宁"</f>
        <v>王宁</v>
      </c>
      <c r="D1795" s="4" t="str">
        <f>"2021012825"</f>
        <v>2021012825</v>
      </c>
      <c r="E1795" s="4" t="str">
        <f t="shared" si="208"/>
        <v>28</v>
      </c>
      <c r="F1795" s="4" t="str">
        <f>"25"</f>
        <v>25</v>
      </c>
      <c r="G1795" s="4" t="s">
        <v>12</v>
      </c>
      <c r="H1795" s="5">
        <v>0</v>
      </c>
      <c r="I1795" s="6" t="s">
        <v>13</v>
      </c>
      <c r="J1795" s="4">
        <f>SUMPRODUCT(--((A1795=$A$3:$A$2785)*$H$3:$H$2785&gt;H1795))+1</f>
        <v>121</v>
      </c>
    </row>
    <row r="1796" s="1" customFormat="true" customHeight="true" spans="1:10">
      <c r="A1796" s="4" t="str">
        <f t="shared" si="206"/>
        <v>022</v>
      </c>
      <c r="B1796" s="4" t="s">
        <v>34</v>
      </c>
      <c r="C1796" s="4" t="str">
        <f>"龚树荣"</f>
        <v>龚树荣</v>
      </c>
      <c r="D1796" s="4" t="str">
        <f>"2021012828"</f>
        <v>2021012828</v>
      </c>
      <c r="E1796" s="4" t="str">
        <f t="shared" si="208"/>
        <v>28</v>
      </c>
      <c r="F1796" s="4" t="str">
        <f>"28"</f>
        <v>28</v>
      </c>
      <c r="G1796" s="4" t="s">
        <v>12</v>
      </c>
      <c r="H1796" s="5">
        <v>0</v>
      </c>
      <c r="I1796" s="6" t="s">
        <v>13</v>
      </c>
      <c r="J1796" s="4">
        <f>SUMPRODUCT(--((A1796=$A$3:$A$2785)*$H$3:$H$2785&gt;H1796))+1</f>
        <v>121</v>
      </c>
    </row>
    <row r="1797" s="1" customFormat="true" customHeight="true" spans="1:10">
      <c r="A1797" s="4" t="str">
        <f t="shared" si="206"/>
        <v>022</v>
      </c>
      <c r="B1797" s="4" t="s">
        <v>34</v>
      </c>
      <c r="C1797" s="4" t="str">
        <f>"滕霞"</f>
        <v>滕霞</v>
      </c>
      <c r="D1797" s="4" t="str">
        <f>"2021012829"</f>
        <v>2021012829</v>
      </c>
      <c r="E1797" s="4" t="str">
        <f t="shared" si="208"/>
        <v>28</v>
      </c>
      <c r="F1797" s="4" t="str">
        <f>"29"</f>
        <v>29</v>
      </c>
      <c r="G1797" s="4" t="s">
        <v>12</v>
      </c>
      <c r="H1797" s="5">
        <v>0</v>
      </c>
      <c r="I1797" s="6" t="s">
        <v>13</v>
      </c>
      <c r="J1797" s="4">
        <f>SUMPRODUCT(--((A1797=$A$3:$A$2785)*$H$3:$H$2785&gt;H1797))+1</f>
        <v>121</v>
      </c>
    </row>
    <row r="1798" s="1" customFormat="true" customHeight="true" spans="1:10">
      <c r="A1798" s="4" t="str">
        <f t="shared" si="206"/>
        <v>022</v>
      </c>
      <c r="B1798" s="4" t="s">
        <v>34</v>
      </c>
      <c r="C1798" s="4" t="str">
        <f>"伍晓俊"</f>
        <v>伍晓俊</v>
      </c>
      <c r="D1798" s="4" t="str">
        <f>"2021012830"</f>
        <v>2021012830</v>
      </c>
      <c r="E1798" s="4" t="str">
        <f t="shared" si="208"/>
        <v>28</v>
      </c>
      <c r="F1798" s="4" t="str">
        <f>"30"</f>
        <v>30</v>
      </c>
      <c r="G1798" s="4" t="s">
        <v>12</v>
      </c>
      <c r="H1798" s="5">
        <v>0</v>
      </c>
      <c r="I1798" s="6" t="s">
        <v>13</v>
      </c>
      <c r="J1798" s="4">
        <f>SUMPRODUCT(--((A1798=$A$3:$A$2785)*$H$3:$H$2785&gt;H1798))+1</f>
        <v>121</v>
      </c>
    </row>
    <row r="1799" s="1" customFormat="true" customHeight="true" spans="1:10">
      <c r="A1799" s="4" t="str">
        <f t="shared" si="206"/>
        <v>022</v>
      </c>
      <c r="B1799" s="4" t="s">
        <v>34</v>
      </c>
      <c r="C1799" s="4" t="str">
        <f>"彭菲"</f>
        <v>彭菲</v>
      </c>
      <c r="D1799" s="4" t="str">
        <f>"2021012902"</f>
        <v>2021012902</v>
      </c>
      <c r="E1799" s="4" t="str">
        <f t="shared" ref="E1799:E1818" si="209">"29"</f>
        <v>29</v>
      </c>
      <c r="F1799" s="4" t="str">
        <f>"02"</f>
        <v>02</v>
      </c>
      <c r="G1799" s="4" t="s">
        <v>12</v>
      </c>
      <c r="H1799" s="5">
        <v>0</v>
      </c>
      <c r="I1799" s="6" t="s">
        <v>13</v>
      </c>
      <c r="J1799" s="4">
        <f>SUMPRODUCT(--((A1799=$A$3:$A$2785)*$H$3:$H$2785&gt;H1799))+1</f>
        <v>121</v>
      </c>
    </row>
    <row r="1800" s="1" customFormat="true" customHeight="true" spans="1:10">
      <c r="A1800" s="4" t="str">
        <f t="shared" si="206"/>
        <v>022</v>
      </c>
      <c r="B1800" s="4" t="s">
        <v>34</v>
      </c>
      <c r="C1800" s="4" t="str">
        <f>"戴艳娟"</f>
        <v>戴艳娟</v>
      </c>
      <c r="D1800" s="4" t="str">
        <f>"2021012903"</f>
        <v>2021012903</v>
      </c>
      <c r="E1800" s="4" t="str">
        <f t="shared" si="209"/>
        <v>29</v>
      </c>
      <c r="F1800" s="4" t="str">
        <f>"03"</f>
        <v>03</v>
      </c>
      <c r="G1800" s="4" t="s">
        <v>12</v>
      </c>
      <c r="H1800" s="5">
        <v>0</v>
      </c>
      <c r="I1800" s="6" t="s">
        <v>13</v>
      </c>
      <c r="J1800" s="4">
        <f>SUMPRODUCT(--((A1800=$A$3:$A$2785)*$H$3:$H$2785&gt;H1800))+1</f>
        <v>121</v>
      </c>
    </row>
    <row r="1801" s="1" customFormat="true" customHeight="true" spans="1:10">
      <c r="A1801" s="4" t="str">
        <f t="shared" si="206"/>
        <v>022</v>
      </c>
      <c r="B1801" s="4" t="s">
        <v>34</v>
      </c>
      <c r="C1801" s="4" t="str">
        <f>"麻群芬"</f>
        <v>麻群芬</v>
      </c>
      <c r="D1801" s="4" t="str">
        <f>"2021012905"</f>
        <v>2021012905</v>
      </c>
      <c r="E1801" s="4" t="str">
        <f t="shared" si="209"/>
        <v>29</v>
      </c>
      <c r="F1801" s="4" t="str">
        <f>"05"</f>
        <v>05</v>
      </c>
      <c r="G1801" s="4" t="s">
        <v>12</v>
      </c>
      <c r="H1801" s="5">
        <v>0</v>
      </c>
      <c r="I1801" s="6" t="s">
        <v>13</v>
      </c>
      <c r="J1801" s="4">
        <f>SUMPRODUCT(--((A1801=$A$3:$A$2785)*$H$3:$H$2785&gt;H1801))+1</f>
        <v>121</v>
      </c>
    </row>
    <row r="1802" s="1" customFormat="true" customHeight="true" spans="1:10">
      <c r="A1802" s="4" t="str">
        <f t="shared" si="206"/>
        <v>022</v>
      </c>
      <c r="B1802" s="4" t="s">
        <v>34</v>
      </c>
      <c r="C1802" s="4" t="str">
        <f>"郑银银"</f>
        <v>郑银银</v>
      </c>
      <c r="D1802" s="4" t="str">
        <f>"2021012907"</f>
        <v>2021012907</v>
      </c>
      <c r="E1802" s="4" t="str">
        <f t="shared" si="209"/>
        <v>29</v>
      </c>
      <c r="F1802" s="4" t="str">
        <f>"07"</f>
        <v>07</v>
      </c>
      <c r="G1802" s="4" t="s">
        <v>12</v>
      </c>
      <c r="H1802" s="5">
        <v>0</v>
      </c>
      <c r="I1802" s="6" t="s">
        <v>13</v>
      </c>
      <c r="J1802" s="4">
        <f>SUMPRODUCT(--((A1802=$A$3:$A$2785)*$H$3:$H$2785&gt;H1802))+1</f>
        <v>121</v>
      </c>
    </row>
    <row r="1803" s="1" customFormat="true" customHeight="true" spans="1:10">
      <c r="A1803" s="4" t="str">
        <f t="shared" si="206"/>
        <v>022</v>
      </c>
      <c r="B1803" s="4" t="s">
        <v>34</v>
      </c>
      <c r="C1803" s="4" t="str">
        <f>"彭双双"</f>
        <v>彭双双</v>
      </c>
      <c r="D1803" s="4" t="str">
        <f>"2021012908"</f>
        <v>2021012908</v>
      </c>
      <c r="E1803" s="4" t="str">
        <f t="shared" si="209"/>
        <v>29</v>
      </c>
      <c r="F1803" s="4" t="str">
        <f>"08"</f>
        <v>08</v>
      </c>
      <c r="G1803" s="4" t="s">
        <v>12</v>
      </c>
      <c r="H1803" s="5">
        <v>0</v>
      </c>
      <c r="I1803" s="6" t="s">
        <v>13</v>
      </c>
      <c r="J1803" s="4">
        <f>SUMPRODUCT(--((A1803=$A$3:$A$2785)*$H$3:$H$2785&gt;H1803))+1</f>
        <v>121</v>
      </c>
    </row>
    <row r="1804" s="1" customFormat="true" customHeight="true" spans="1:10">
      <c r="A1804" s="4" t="str">
        <f t="shared" si="206"/>
        <v>022</v>
      </c>
      <c r="B1804" s="4" t="s">
        <v>34</v>
      </c>
      <c r="C1804" s="4" t="str">
        <f>"黄婧怡"</f>
        <v>黄婧怡</v>
      </c>
      <c r="D1804" s="4" t="str">
        <f>"2021012910"</f>
        <v>2021012910</v>
      </c>
      <c r="E1804" s="4" t="str">
        <f t="shared" si="209"/>
        <v>29</v>
      </c>
      <c r="F1804" s="4" t="str">
        <f>"10"</f>
        <v>10</v>
      </c>
      <c r="G1804" s="4" t="s">
        <v>12</v>
      </c>
      <c r="H1804" s="5">
        <v>0</v>
      </c>
      <c r="I1804" s="6" t="s">
        <v>13</v>
      </c>
      <c r="J1804" s="4">
        <f>SUMPRODUCT(--((A1804=$A$3:$A$2785)*$H$3:$H$2785&gt;H1804))+1</f>
        <v>121</v>
      </c>
    </row>
    <row r="1805" s="1" customFormat="true" customHeight="true" spans="1:10">
      <c r="A1805" s="4" t="str">
        <f t="shared" si="206"/>
        <v>022</v>
      </c>
      <c r="B1805" s="4" t="s">
        <v>34</v>
      </c>
      <c r="C1805" s="4" t="str">
        <f>"周蓓"</f>
        <v>周蓓</v>
      </c>
      <c r="D1805" s="4" t="str">
        <f>"2021012911"</f>
        <v>2021012911</v>
      </c>
      <c r="E1805" s="4" t="str">
        <f t="shared" si="209"/>
        <v>29</v>
      </c>
      <c r="F1805" s="4" t="str">
        <f>"11"</f>
        <v>11</v>
      </c>
      <c r="G1805" s="4" t="s">
        <v>12</v>
      </c>
      <c r="H1805" s="5">
        <v>0</v>
      </c>
      <c r="I1805" s="6" t="s">
        <v>13</v>
      </c>
      <c r="J1805" s="4">
        <f>SUMPRODUCT(--((A1805=$A$3:$A$2785)*$H$3:$H$2785&gt;H1805))+1</f>
        <v>121</v>
      </c>
    </row>
    <row r="1806" s="1" customFormat="true" customHeight="true" spans="1:10">
      <c r="A1806" s="4" t="str">
        <f t="shared" si="206"/>
        <v>022</v>
      </c>
      <c r="B1806" s="4" t="s">
        <v>34</v>
      </c>
      <c r="C1806" s="4" t="str">
        <f>"彭丽"</f>
        <v>彭丽</v>
      </c>
      <c r="D1806" s="4" t="str">
        <f>"2021012914"</f>
        <v>2021012914</v>
      </c>
      <c r="E1806" s="4" t="str">
        <f t="shared" si="209"/>
        <v>29</v>
      </c>
      <c r="F1806" s="4" t="str">
        <f>"14"</f>
        <v>14</v>
      </c>
      <c r="G1806" s="4" t="s">
        <v>12</v>
      </c>
      <c r="H1806" s="5">
        <v>0</v>
      </c>
      <c r="I1806" s="6" t="s">
        <v>13</v>
      </c>
      <c r="J1806" s="4">
        <f>SUMPRODUCT(--((A1806=$A$3:$A$2785)*$H$3:$H$2785&gt;H1806))+1</f>
        <v>121</v>
      </c>
    </row>
    <row r="1807" s="1" customFormat="true" customHeight="true" spans="1:10">
      <c r="A1807" s="4" t="str">
        <f t="shared" si="206"/>
        <v>022</v>
      </c>
      <c r="B1807" s="4" t="s">
        <v>34</v>
      </c>
      <c r="C1807" s="4" t="str">
        <f>"邓芳玲"</f>
        <v>邓芳玲</v>
      </c>
      <c r="D1807" s="4" t="str">
        <f>"2021012915"</f>
        <v>2021012915</v>
      </c>
      <c r="E1807" s="4" t="str">
        <f t="shared" si="209"/>
        <v>29</v>
      </c>
      <c r="F1807" s="4" t="str">
        <f>"15"</f>
        <v>15</v>
      </c>
      <c r="G1807" s="4" t="s">
        <v>12</v>
      </c>
      <c r="H1807" s="5">
        <v>0</v>
      </c>
      <c r="I1807" s="6" t="s">
        <v>13</v>
      </c>
      <c r="J1807" s="4">
        <f>SUMPRODUCT(--((A1807=$A$3:$A$2785)*$H$3:$H$2785&gt;H1807))+1</f>
        <v>121</v>
      </c>
    </row>
    <row r="1808" s="1" customFormat="true" customHeight="true" spans="1:10">
      <c r="A1808" s="4" t="str">
        <f t="shared" si="206"/>
        <v>022</v>
      </c>
      <c r="B1808" s="4" t="s">
        <v>34</v>
      </c>
      <c r="C1808" s="4" t="str">
        <f>"杨玉芝"</f>
        <v>杨玉芝</v>
      </c>
      <c r="D1808" s="4" t="str">
        <f>"2021012917"</f>
        <v>2021012917</v>
      </c>
      <c r="E1808" s="4" t="str">
        <f t="shared" si="209"/>
        <v>29</v>
      </c>
      <c r="F1808" s="4" t="str">
        <f>"17"</f>
        <v>17</v>
      </c>
      <c r="G1808" s="4" t="s">
        <v>12</v>
      </c>
      <c r="H1808" s="5">
        <v>0</v>
      </c>
      <c r="I1808" s="6" t="s">
        <v>13</v>
      </c>
      <c r="J1808" s="4">
        <f>SUMPRODUCT(--((A1808=$A$3:$A$2785)*$H$3:$H$2785&gt;H1808))+1</f>
        <v>121</v>
      </c>
    </row>
    <row r="1809" s="1" customFormat="true" customHeight="true" spans="1:10">
      <c r="A1809" s="4" t="str">
        <f t="shared" si="206"/>
        <v>022</v>
      </c>
      <c r="B1809" s="4" t="s">
        <v>34</v>
      </c>
      <c r="C1809" s="4" t="str">
        <f>"苏颖"</f>
        <v>苏颖</v>
      </c>
      <c r="D1809" s="4" t="str">
        <f>"2021012918"</f>
        <v>2021012918</v>
      </c>
      <c r="E1809" s="4" t="str">
        <f t="shared" si="209"/>
        <v>29</v>
      </c>
      <c r="F1809" s="4" t="str">
        <f>"18"</f>
        <v>18</v>
      </c>
      <c r="G1809" s="4" t="s">
        <v>12</v>
      </c>
      <c r="H1809" s="5">
        <v>0</v>
      </c>
      <c r="I1809" s="6" t="s">
        <v>13</v>
      </c>
      <c r="J1809" s="4">
        <f>SUMPRODUCT(--((A1809=$A$3:$A$2785)*$H$3:$H$2785&gt;H1809))+1</f>
        <v>121</v>
      </c>
    </row>
    <row r="1810" s="1" customFormat="true" customHeight="true" spans="1:10">
      <c r="A1810" s="4" t="str">
        <f t="shared" si="206"/>
        <v>022</v>
      </c>
      <c r="B1810" s="4" t="s">
        <v>34</v>
      </c>
      <c r="C1810" s="4" t="str">
        <f>"王素勇"</f>
        <v>王素勇</v>
      </c>
      <c r="D1810" s="4" t="str">
        <f>"2021012919"</f>
        <v>2021012919</v>
      </c>
      <c r="E1810" s="4" t="str">
        <f t="shared" si="209"/>
        <v>29</v>
      </c>
      <c r="F1810" s="4" t="str">
        <f>"19"</f>
        <v>19</v>
      </c>
      <c r="G1810" s="4" t="s">
        <v>12</v>
      </c>
      <c r="H1810" s="5">
        <v>0</v>
      </c>
      <c r="I1810" s="6" t="s">
        <v>13</v>
      </c>
      <c r="J1810" s="4">
        <f>SUMPRODUCT(--((A1810=$A$3:$A$2785)*$H$3:$H$2785&gt;H1810))+1</f>
        <v>121</v>
      </c>
    </row>
    <row r="1811" s="1" customFormat="true" customHeight="true" spans="1:10">
      <c r="A1811" s="4" t="str">
        <f t="shared" si="206"/>
        <v>022</v>
      </c>
      <c r="B1811" s="4" t="s">
        <v>34</v>
      </c>
      <c r="C1811" s="4" t="str">
        <f>"黄迪"</f>
        <v>黄迪</v>
      </c>
      <c r="D1811" s="4" t="str">
        <f>"2021012920"</f>
        <v>2021012920</v>
      </c>
      <c r="E1811" s="4" t="str">
        <f t="shared" si="209"/>
        <v>29</v>
      </c>
      <c r="F1811" s="4" t="str">
        <f>"20"</f>
        <v>20</v>
      </c>
      <c r="G1811" s="4" t="s">
        <v>12</v>
      </c>
      <c r="H1811" s="5">
        <v>0</v>
      </c>
      <c r="I1811" s="6" t="s">
        <v>13</v>
      </c>
      <c r="J1811" s="4">
        <f>SUMPRODUCT(--((A1811=$A$3:$A$2785)*$H$3:$H$2785&gt;H1811))+1</f>
        <v>121</v>
      </c>
    </row>
    <row r="1812" s="1" customFormat="true" customHeight="true" spans="1:10">
      <c r="A1812" s="4" t="str">
        <f t="shared" si="206"/>
        <v>022</v>
      </c>
      <c r="B1812" s="4" t="s">
        <v>34</v>
      </c>
      <c r="C1812" s="4" t="str">
        <f>"符羲"</f>
        <v>符羲</v>
      </c>
      <c r="D1812" s="4" t="str">
        <f>"2021012922"</f>
        <v>2021012922</v>
      </c>
      <c r="E1812" s="4" t="str">
        <f t="shared" si="209"/>
        <v>29</v>
      </c>
      <c r="F1812" s="4" t="str">
        <f>"22"</f>
        <v>22</v>
      </c>
      <c r="G1812" s="4" t="s">
        <v>12</v>
      </c>
      <c r="H1812" s="5">
        <v>0</v>
      </c>
      <c r="I1812" s="6" t="s">
        <v>13</v>
      </c>
      <c r="J1812" s="4">
        <f>SUMPRODUCT(--((A1812=$A$3:$A$2785)*$H$3:$H$2785&gt;H1812))+1</f>
        <v>121</v>
      </c>
    </row>
    <row r="1813" s="1" customFormat="true" customHeight="true" spans="1:10">
      <c r="A1813" s="4" t="str">
        <f t="shared" si="206"/>
        <v>022</v>
      </c>
      <c r="B1813" s="4" t="s">
        <v>34</v>
      </c>
      <c r="C1813" s="4" t="str">
        <f>"白雪"</f>
        <v>白雪</v>
      </c>
      <c r="D1813" s="4" t="str">
        <f>"2021012923"</f>
        <v>2021012923</v>
      </c>
      <c r="E1813" s="4" t="str">
        <f t="shared" si="209"/>
        <v>29</v>
      </c>
      <c r="F1813" s="4" t="str">
        <f>"23"</f>
        <v>23</v>
      </c>
      <c r="G1813" s="4" t="s">
        <v>12</v>
      </c>
      <c r="H1813" s="5">
        <v>0</v>
      </c>
      <c r="I1813" s="6" t="s">
        <v>13</v>
      </c>
      <c r="J1813" s="4">
        <f>SUMPRODUCT(--((A1813=$A$3:$A$2785)*$H$3:$H$2785&gt;H1813))+1</f>
        <v>121</v>
      </c>
    </row>
    <row r="1814" s="1" customFormat="true" customHeight="true" spans="1:10">
      <c r="A1814" s="4" t="str">
        <f t="shared" si="206"/>
        <v>022</v>
      </c>
      <c r="B1814" s="4" t="s">
        <v>34</v>
      </c>
      <c r="C1814" s="4" t="str">
        <f>"田瑛"</f>
        <v>田瑛</v>
      </c>
      <c r="D1814" s="4" t="str">
        <f>"2021012926"</f>
        <v>2021012926</v>
      </c>
      <c r="E1814" s="4" t="str">
        <f t="shared" si="209"/>
        <v>29</v>
      </c>
      <c r="F1814" s="4" t="str">
        <f>"26"</f>
        <v>26</v>
      </c>
      <c r="G1814" s="4" t="s">
        <v>12</v>
      </c>
      <c r="H1814" s="5">
        <v>0</v>
      </c>
      <c r="I1814" s="6" t="s">
        <v>13</v>
      </c>
      <c r="J1814" s="4">
        <f>SUMPRODUCT(--((A1814=$A$3:$A$2785)*$H$3:$H$2785&gt;H1814))+1</f>
        <v>121</v>
      </c>
    </row>
    <row r="1815" s="1" customFormat="true" customHeight="true" spans="1:10">
      <c r="A1815" s="4" t="str">
        <f t="shared" ref="A1815:A1868" si="210">"022"</f>
        <v>022</v>
      </c>
      <c r="B1815" s="4" t="s">
        <v>34</v>
      </c>
      <c r="C1815" s="4" t="str">
        <f>"谢思萍"</f>
        <v>谢思萍</v>
      </c>
      <c r="D1815" s="4" t="str">
        <f>"2021012927"</f>
        <v>2021012927</v>
      </c>
      <c r="E1815" s="4" t="str">
        <f t="shared" si="209"/>
        <v>29</v>
      </c>
      <c r="F1815" s="4" t="str">
        <f>"27"</f>
        <v>27</v>
      </c>
      <c r="G1815" s="4" t="s">
        <v>12</v>
      </c>
      <c r="H1815" s="5">
        <v>0</v>
      </c>
      <c r="I1815" s="6" t="s">
        <v>13</v>
      </c>
      <c r="J1815" s="4">
        <f>SUMPRODUCT(--((A1815=$A$3:$A$2785)*$H$3:$H$2785&gt;H1815))+1</f>
        <v>121</v>
      </c>
    </row>
    <row r="1816" s="1" customFormat="true" customHeight="true" spans="1:10">
      <c r="A1816" s="4" t="str">
        <f t="shared" si="210"/>
        <v>022</v>
      </c>
      <c r="B1816" s="4" t="s">
        <v>34</v>
      </c>
      <c r="C1816" s="4" t="str">
        <f>"彭卿"</f>
        <v>彭卿</v>
      </c>
      <c r="D1816" s="4" t="str">
        <f>"2021012928"</f>
        <v>2021012928</v>
      </c>
      <c r="E1816" s="4" t="str">
        <f t="shared" si="209"/>
        <v>29</v>
      </c>
      <c r="F1816" s="4" t="str">
        <f>"28"</f>
        <v>28</v>
      </c>
      <c r="G1816" s="4" t="s">
        <v>12</v>
      </c>
      <c r="H1816" s="5">
        <v>0</v>
      </c>
      <c r="I1816" s="6" t="s">
        <v>13</v>
      </c>
      <c r="J1816" s="4">
        <f>SUMPRODUCT(--((A1816=$A$3:$A$2785)*$H$3:$H$2785&gt;H1816))+1</f>
        <v>121</v>
      </c>
    </row>
    <row r="1817" s="1" customFormat="true" customHeight="true" spans="1:10">
      <c r="A1817" s="4" t="str">
        <f t="shared" si="210"/>
        <v>022</v>
      </c>
      <c r="B1817" s="4" t="s">
        <v>34</v>
      </c>
      <c r="C1817" s="4" t="str">
        <f>"杨金菊"</f>
        <v>杨金菊</v>
      </c>
      <c r="D1817" s="4" t="str">
        <f>"2021012929"</f>
        <v>2021012929</v>
      </c>
      <c r="E1817" s="4" t="str">
        <f t="shared" si="209"/>
        <v>29</v>
      </c>
      <c r="F1817" s="4" t="str">
        <f>"29"</f>
        <v>29</v>
      </c>
      <c r="G1817" s="4" t="s">
        <v>12</v>
      </c>
      <c r="H1817" s="5">
        <v>0</v>
      </c>
      <c r="I1817" s="6" t="s">
        <v>13</v>
      </c>
      <c r="J1817" s="4">
        <f>SUMPRODUCT(--((A1817=$A$3:$A$2785)*$H$3:$H$2785&gt;H1817))+1</f>
        <v>121</v>
      </c>
    </row>
    <row r="1818" s="1" customFormat="true" customHeight="true" spans="1:10">
      <c r="A1818" s="4" t="str">
        <f t="shared" si="210"/>
        <v>022</v>
      </c>
      <c r="B1818" s="4" t="s">
        <v>34</v>
      </c>
      <c r="C1818" s="4" t="str">
        <f>"尹捷达"</f>
        <v>尹捷达</v>
      </c>
      <c r="D1818" s="4" t="str">
        <f>"2021012930"</f>
        <v>2021012930</v>
      </c>
      <c r="E1818" s="4" t="str">
        <f t="shared" si="209"/>
        <v>29</v>
      </c>
      <c r="F1818" s="4" t="str">
        <f>"30"</f>
        <v>30</v>
      </c>
      <c r="G1818" s="4" t="s">
        <v>12</v>
      </c>
      <c r="H1818" s="5">
        <v>0</v>
      </c>
      <c r="I1818" s="6" t="s">
        <v>13</v>
      </c>
      <c r="J1818" s="4">
        <f>SUMPRODUCT(--((A1818=$A$3:$A$2785)*$H$3:$H$2785&gt;H1818))+1</f>
        <v>121</v>
      </c>
    </row>
    <row r="1819" s="1" customFormat="true" customHeight="true" spans="1:10">
      <c r="A1819" s="4" t="str">
        <f t="shared" si="210"/>
        <v>022</v>
      </c>
      <c r="B1819" s="4" t="s">
        <v>34</v>
      </c>
      <c r="C1819" s="4" t="str">
        <f>"黄明玉"</f>
        <v>黄明玉</v>
      </c>
      <c r="D1819" s="4" t="str">
        <f>"2021013003"</f>
        <v>2021013003</v>
      </c>
      <c r="E1819" s="4" t="str">
        <f t="shared" ref="E1819:E1832" si="211">"30"</f>
        <v>30</v>
      </c>
      <c r="F1819" s="4" t="str">
        <f>"03"</f>
        <v>03</v>
      </c>
      <c r="G1819" s="4" t="s">
        <v>12</v>
      </c>
      <c r="H1819" s="5">
        <v>0</v>
      </c>
      <c r="I1819" s="6" t="s">
        <v>13</v>
      </c>
      <c r="J1819" s="4">
        <f>SUMPRODUCT(--((A1819=$A$3:$A$2785)*$H$3:$H$2785&gt;H1819))+1</f>
        <v>121</v>
      </c>
    </row>
    <row r="1820" s="1" customFormat="true" customHeight="true" spans="1:10">
      <c r="A1820" s="4" t="str">
        <f t="shared" si="210"/>
        <v>022</v>
      </c>
      <c r="B1820" s="4" t="s">
        <v>34</v>
      </c>
      <c r="C1820" s="4" t="str">
        <f>"温建普"</f>
        <v>温建普</v>
      </c>
      <c r="D1820" s="4" t="str">
        <f>"2021013004"</f>
        <v>2021013004</v>
      </c>
      <c r="E1820" s="4" t="str">
        <f t="shared" si="211"/>
        <v>30</v>
      </c>
      <c r="F1820" s="4" t="str">
        <f>"04"</f>
        <v>04</v>
      </c>
      <c r="G1820" s="4" t="s">
        <v>12</v>
      </c>
      <c r="H1820" s="5">
        <v>0</v>
      </c>
      <c r="I1820" s="6" t="s">
        <v>13</v>
      </c>
      <c r="J1820" s="4">
        <f>SUMPRODUCT(--((A1820=$A$3:$A$2785)*$H$3:$H$2785&gt;H1820))+1</f>
        <v>121</v>
      </c>
    </row>
    <row r="1821" s="1" customFormat="true" customHeight="true" spans="1:10">
      <c r="A1821" s="4" t="str">
        <f t="shared" si="210"/>
        <v>022</v>
      </c>
      <c r="B1821" s="4" t="s">
        <v>34</v>
      </c>
      <c r="C1821" s="4" t="str">
        <f>"石屹"</f>
        <v>石屹</v>
      </c>
      <c r="D1821" s="4" t="str">
        <f>"2021013005"</f>
        <v>2021013005</v>
      </c>
      <c r="E1821" s="4" t="str">
        <f t="shared" si="211"/>
        <v>30</v>
      </c>
      <c r="F1821" s="4" t="str">
        <f>"05"</f>
        <v>05</v>
      </c>
      <c r="G1821" s="4" t="s">
        <v>12</v>
      </c>
      <c r="H1821" s="5">
        <v>0</v>
      </c>
      <c r="I1821" s="6" t="s">
        <v>13</v>
      </c>
      <c r="J1821" s="4">
        <f>SUMPRODUCT(--((A1821=$A$3:$A$2785)*$H$3:$H$2785&gt;H1821))+1</f>
        <v>121</v>
      </c>
    </row>
    <row r="1822" s="1" customFormat="true" customHeight="true" spans="1:10">
      <c r="A1822" s="4" t="str">
        <f t="shared" si="210"/>
        <v>022</v>
      </c>
      <c r="B1822" s="4" t="s">
        <v>34</v>
      </c>
      <c r="C1822" s="4" t="str">
        <f>"向丹丹"</f>
        <v>向丹丹</v>
      </c>
      <c r="D1822" s="4" t="str">
        <f>"2021013006"</f>
        <v>2021013006</v>
      </c>
      <c r="E1822" s="4" t="str">
        <f t="shared" si="211"/>
        <v>30</v>
      </c>
      <c r="F1822" s="4" t="str">
        <f>"06"</f>
        <v>06</v>
      </c>
      <c r="G1822" s="4" t="s">
        <v>12</v>
      </c>
      <c r="H1822" s="5">
        <v>0</v>
      </c>
      <c r="I1822" s="6" t="s">
        <v>13</v>
      </c>
      <c r="J1822" s="4">
        <f>SUMPRODUCT(--((A1822=$A$3:$A$2785)*$H$3:$H$2785&gt;H1822))+1</f>
        <v>121</v>
      </c>
    </row>
    <row r="1823" s="1" customFormat="true" customHeight="true" spans="1:10">
      <c r="A1823" s="4" t="str">
        <f t="shared" si="210"/>
        <v>022</v>
      </c>
      <c r="B1823" s="4" t="s">
        <v>34</v>
      </c>
      <c r="C1823" s="4" t="str">
        <f>"向慧"</f>
        <v>向慧</v>
      </c>
      <c r="D1823" s="4" t="str">
        <f>"2021013008"</f>
        <v>2021013008</v>
      </c>
      <c r="E1823" s="4" t="str">
        <f t="shared" si="211"/>
        <v>30</v>
      </c>
      <c r="F1823" s="4" t="str">
        <f>"08"</f>
        <v>08</v>
      </c>
      <c r="G1823" s="4" t="s">
        <v>12</v>
      </c>
      <c r="H1823" s="5">
        <v>0</v>
      </c>
      <c r="I1823" s="6" t="s">
        <v>13</v>
      </c>
      <c r="J1823" s="4">
        <f>SUMPRODUCT(--((A1823=$A$3:$A$2785)*$H$3:$H$2785&gt;H1823))+1</f>
        <v>121</v>
      </c>
    </row>
    <row r="1824" s="1" customFormat="true" customHeight="true" spans="1:10">
      <c r="A1824" s="4" t="str">
        <f t="shared" si="210"/>
        <v>022</v>
      </c>
      <c r="B1824" s="4" t="s">
        <v>34</v>
      </c>
      <c r="C1824" s="4" t="str">
        <f>"钟京京"</f>
        <v>钟京京</v>
      </c>
      <c r="D1824" s="4" t="str">
        <f>"2021013012"</f>
        <v>2021013012</v>
      </c>
      <c r="E1824" s="4" t="str">
        <f t="shared" si="211"/>
        <v>30</v>
      </c>
      <c r="F1824" s="4" t="str">
        <f>"12"</f>
        <v>12</v>
      </c>
      <c r="G1824" s="4" t="s">
        <v>12</v>
      </c>
      <c r="H1824" s="5">
        <v>0</v>
      </c>
      <c r="I1824" s="6" t="s">
        <v>13</v>
      </c>
      <c r="J1824" s="4">
        <f>SUMPRODUCT(--((A1824=$A$3:$A$2785)*$H$3:$H$2785&gt;H1824))+1</f>
        <v>121</v>
      </c>
    </row>
    <row r="1825" s="1" customFormat="true" customHeight="true" spans="1:10">
      <c r="A1825" s="4" t="str">
        <f t="shared" si="210"/>
        <v>022</v>
      </c>
      <c r="B1825" s="4" t="s">
        <v>34</v>
      </c>
      <c r="C1825" s="4" t="str">
        <f>"龙丽辉"</f>
        <v>龙丽辉</v>
      </c>
      <c r="D1825" s="4" t="str">
        <f>"2021013014"</f>
        <v>2021013014</v>
      </c>
      <c r="E1825" s="4" t="str">
        <f t="shared" si="211"/>
        <v>30</v>
      </c>
      <c r="F1825" s="4" t="str">
        <f>"14"</f>
        <v>14</v>
      </c>
      <c r="G1825" s="4" t="s">
        <v>12</v>
      </c>
      <c r="H1825" s="5">
        <v>0</v>
      </c>
      <c r="I1825" s="6" t="s">
        <v>13</v>
      </c>
      <c r="J1825" s="4">
        <f>SUMPRODUCT(--((A1825=$A$3:$A$2785)*$H$3:$H$2785&gt;H1825))+1</f>
        <v>121</v>
      </c>
    </row>
    <row r="1826" s="1" customFormat="true" customHeight="true" spans="1:10">
      <c r="A1826" s="4" t="str">
        <f t="shared" si="210"/>
        <v>022</v>
      </c>
      <c r="B1826" s="4" t="s">
        <v>34</v>
      </c>
      <c r="C1826" s="4" t="str">
        <f>"吴传芳"</f>
        <v>吴传芳</v>
      </c>
      <c r="D1826" s="4" t="str">
        <f>"2021013017"</f>
        <v>2021013017</v>
      </c>
      <c r="E1826" s="4" t="str">
        <f t="shared" si="211"/>
        <v>30</v>
      </c>
      <c r="F1826" s="4" t="str">
        <f>"17"</f>
        <v>17</v>
      </c>
      <c r="G1826" s="4" t="s">
        <v>12</v>
      </c>
      <c r="H1826" s="5">
        <v>0</v>
      </c>
      <c r="I1826" s="6" t="s">
        <v>13</v>
      </c>
      <c r="J1826" s="4">
        <f>SUMPRODUCT(--((A1826=$A$3:$A$2785)*$H$3:$H$2785&gt;H1826))+1</f>
        <v>121</v>
      </c>
    </row>
    <row r="1827" s="1" customFormat="true" customHeight="true" spans="1:10">
      <c r="A1827" s="4" t="str">
        <f t="shared" si="210"/>
        <v>022</v>
      </c>
      <c r="B1827" s="4" t="s">
        <v>34</v>
      </c>
      <c r="C1827" s="4" t="str">
        <f>"陆佳"</f>
        <v>陆佳</v>
      </c>
      <c r="D1827" s="4" t="str">
        <f>"2021013019"</f>
        <v>2021013019</v>
      </c>
      <c r="E1827" s="4" t="str">
        <f t="shared" si="211"/>
        <v>30</v>
      </c>
      <c r="F1827" s="4" t="str">
        <f>"19"</f>
        <v>19</v>
      </c>
      <c r="G1827" s="4" t="s">
        <v>12</v>
      </c>
      <c r="H1827" s="5">
        <v>0</v>
      </c>
      <c r="I1827" s="6" t="s">
        <v>13</v>
      </c>
      <c r="J1827" s="4">
        <f>SUMPRODUCT(--((A1827=$A$3:$A$2785)*$H$3:$H$2785&gt;H1827))+1</f>
        <v>121</v>
      </c>
    </row>
    <row r="1828" s="1" customFormat="true" customHeight="true" spans="1:10">
      <c r="A1828" s="4" t="str">
        <f t="shared" si="210"/>
        <v>022</v>
      </c>
      <c r="B1828" s="4" t="s">
        <v>34</v>
      </c>
      <c r="C1828" s="4" t="str">
        <f>"陈月中"</f>
        <v>陈月中</v>
      </c>
      <c r="D1828" s="4" t="str">
        <f>"2021013020"</f>
        <v>2021013020</v>
      </c>
      <c r="E1828" s="4" t="str">
        <f t="shared" si="211"/>
        <v>30</v>
      </c>
      <c r="F1828" s="4" t="str">
        <f>"20"</f>
        <v>20</v>
      </c>
      <c r="G1828" s="4" t="s">
        <v>12</v>
      </c>
      <c r="H1828" s="5">
        <v>0</v>
      </c>
      <c r="I1828" s="6" t="s">
        <v>13</v>
      </c>
      <c r="J1828" s="4">
        <f>SUMPRODUCT(--((A1828=$A$3:$A$2785)*$H$3:$H$2785&gt;H1828))+1</f>
        <v>121</v>
      </c>
    </row>
    <row r="1829" s="1" customFormat="true" customHeight="true" spans="1:10">
      <c r="A1829" s="4" t="str">
        <f t="shared" si="210"/>
        <v>022</v>
      </c>
      <c r="B1829" s="4" t="s">
        <v>34</v>
      </c>
      <c r="C1829" s="4" t="str">
        <f>"潘洁"</f>
        <v>潘洁</v>
      </c>
      <c r="D1829" s="4" t="str">
        <f>"2021013027"</f>
        <v>2021013027</v>
      </c>
      <c r="E1829" s="4" t="str">
        <f t="shared" si="211"/>
        <v>30</v>
      </c>
      <c r="F1829" s="4" t="str">
        <f>"27"</f>
        <v>27</v>
      </c>
      <c r="G1829" s="4" t="s">
        <v>12</v>
      </c>
      <c r="H1829" s="5">
        <v>0</v>
      </c>
      <c r="I1829" s="6" t="s">
        <v>13</v>
      </c>
      <c r="J1829" s="4">
        <f>SUMPRODUCT(--((A1829=$A$3:$A$2785)*$H$3:$H$2785&gt;H1829))+1</f>
        <v>121</v>
      </c>
    </row>
    <row r="1830" s="1" customFormat="true" customHeight="true" spans="1:10">
      <c r="A1830" s="4" t="str">
        <f t="shared" si="210"/>
        <v>022</v>
      </c>
      <c r="B1830" s="4" t="s">
        <v>34</v>
      </c>
      <c r="C1830" s="4" t="str">
        <f>"龙世华"</f>
        <v>龙世华</v>
      </c>
      <c r="D1830" s="4" t="str">
        <f>"2021013028"</f>
        <v>2021013028</v>
      </c>
      <c r="E1830" s="4" t="str">
        <f t="shared" si="211"/>
        <v>30</v>
      </c>
      <c r="F1830" s="4" t="str">
        <f>"28"</f>
        <v>28</v>
      </c>
      <c r="G1830" s="4" t="s">
        <v>12</v>
      </c>
      <c r="H1830" s="5">
        <v>0</v>
      </c>
      <c r="I1830" s="6" t="s">
        <v>13</v>
      </c>
      <c r="J1830" s="4">
        <f>SUMPRODUCT(--((A1830=$A$3:$A$2785)*$H$3:$H$2785&gt;H1830))+1</f>
        <v>121</v>
      </c>
    </row>
    <row r="1831" s="1" customFormat="true" customHeight="true" spans="1:10">
      <c r="A1831" s="4" t="str">
        <f t="shared" si="210"/>
        <v>022</v>
      </c>
      <c r="B1831" s="4" t="s">
        <v>34</v>
      </c>
      <c r="C1831" s="4" t="str">
        <f>"杨晓娜"</f>
        <v>杨晓娜</v>
      </c>
      <c r="D1831" s="4" t="str">
        <f>"2021013029"</f>
        <v>2021013029</v>
      </c>
      <c r="E1831" s="4" t="str">
        <f t="shared" si="211"/>
        <v>30</v>
      </c>
      <c r="F1831" s="4" t="str">
        <f>"29"</f>
        <v>29</v>
      </c>
      <c r="G1831" s="4" t="s">
        <v>12</v>
      </c>
      <c r="H1831" s="5">
        <v>0</v>
      </c>
      <c r="I1831" s="6" t="s">
        <v>13</v>
      </c>
      <c r="J1831" s="4">
        <f>SUMPRODUCT(--((A1831=$A$3:$A$2785)*$H$3:$H$2785&gt;H1831))+1</f>
        <v>121</v>
      </c>
    </row>
    <row r="1832" s="1" customFormat="true" customHeight="true" spans="1:10">
      <c r="A1832" s="4" t="str">
        <f t="shared" si="210"/>
        <v>022</v>
      </c>
      <c r="B1832" s="4" t="s">
        <v>34</v>
      </c>
      <c r="C1832" s="4" t="str">
        <f>"唐艺葳"</f>
        <v>唐艺葳</v>
      </c>
      <c r="D1832" s="4" t="str">
        <f>"2021013030"</f>
        <v>2021013030</v>
      </c>
      <c r="E1832" s="4" t="str">
        <f t="shared" si="211"/>
        <v>30</v>
      </c>
      <c r="F1832" s="4" t="str">
        <f>"30"</f>
        <v>30</v>
      </c>
      <c r="G1832" s="4" t="s">
        <v>12</v>
      </c>
      <c r="H1832" s="5">
        <v>0</v>
      </c>
      <c r="I1832" s="6" t="s">
        <v>13</v>
      </c>
      <c r="J1832" s="4">
        <f>SUMPRODUCT(--((A1832=$A$3:$A$2785)*$H$3:$H$2785&gt;H1832))+1</f>
        <v>121</v>
      </c>
    </row>
    <row r="1833" s="1" customFormat="true" customHeight="true" spans="1:10">
      <c r="A1833" s="4" t="str">
        <f t="shared" si="210"/>
        <v>022</v>
      </c>
      <c r="B1833" s="4" t="s">
        <v>34</v>
      </c>
      <c r="C1833" s="4" t="str">
        <f>"朱慧群"</f>
        <v>朱慧群</v>
      </c>
      <c r="D1833" s="4" t="str">
        <f>"2021013101"</f>
        <v>2021013101</v>
      </c>
      <c r="E1833" s="4" t="str">
        <f t="shared" ref="E1833:E1847" si="212">"31"</f>
        <v>31</v>
      </c>
      <c r="F1833" s="4" t="str">
        <f>"01"</f>
        <v>01</v>
      </c>
      <c r="G1833" s="4" t="s">
        <v>12</v>
      </c>
      <c r="H1833" s="5">
        <v>0</v>
      </c>
      <c r="I1833" s="6" t="s">
        <v>13</v>
      </c>
      <c r="J1833" s="4">
        <f>SUMPRODUCT(--((A1833=$A$3:$A$2785)*$H$3:$H$2785&gt;H1833))+1</f>
        <v>121</v>
      </c>
    </row>
    <row r="1834" s="1" customFormat="true" customHeight="true" spans="1:10">
      <c r="A1834" s="4" t="str">
        <f t="shared" si="210"/>
        <v>022</v>
      </c>
      <c r="B1834" s="4" t="s">
        <v>34</v>
      </c>
      <c r="C1834" s="4" t="str">
        <f>"谢卓"</f>
        <v>谢卓</v>
      </c>
      <c r="D1834" s="4" t="str">
        <f>"2021013105"</f>
        <v>2021013105</v>
      </c>
      <c r="E1834" s="4" t="str">
        <f t="shared" si="212"/>
        <v>31</v>
      </c>
      <c r="F1834" s="4" t="str">
        <f>"05"</f>
        <v>05</v>
      </c>
      <c r="G1834" s="4" t="s">
        <v>12</v>
      </c>
      <c r="H1834" s="5">
        <v>0</v>
      </c>
      <c r="I1834" s="6" t="s">
        <v>13</v>
      </c>
      <c r="J1834" s="4">
        <f>SUMPRODUCT(--((A1834=$A$3:$A$2785)*$H$3:$H$2785&gt;H1834))+1</f>
        <v>121</v>
      </c>
    </row>
    <row r="1835" s="1" customFormat="true" customHeight="true" spans="1:10">
      <c r="A1835" s="4" t="str">
        <f t="shared" si="210"/>
        <v>022</v>
      </c>
      <c r="B1835" s="4" t="s">
        <v>34</v>
      </c>
      <c r="C1835" s="4" t="str">
        <f>"邓燃松"</f>
        <v>邓燃松</v>
      </c>
      <c r="D1835" s="4" t="str">
        <f>"2021013106"</f>
        <v>2021013106</v>
      </c>
      <c r="E1835" s="4" t="str">
        <f t="shared" si="212"/>
        <v>31</v>
      </c>
      <c r="F1835" s="4" t="str">
        <f>"06"</f>
        <v>06</v>
      </c>
      <c r="G1835" s="4" t="s">
        <v>12</v>
      </c>
      <c r="H1835" s="5">
        <v>0</v>
      </c>
      <c r="I1835" s="6" t="s">
        <v>13</v>
      </c>
      <c r="J1835" s="4">
        <f>SUMPRODUCT(--((A1835=$A$3:$A$2785)*$H$3:$H$2785&gt;H1835))+1</f>
        <v>121</v>
      </c>
    </row>
    <row r="1836" s="1" customFormat="true" customHeight="true" spans="1:10">
      <c r="A1836" s="4" t="str">
        <f t="shared" si="210"/>
        <v>022</v>
      </c>
      <c r="B1836" s="4" t="s">
        <v>34</v>
      </c>
      <c r="C1836" s="4" t="str">
        <f>"李薇"</f>
        <v>李薇</v>
      </c>
      <c r="D1836" s="4" t="str">
        <f>"2021013108"</f>
        <v>2021013108</v>
      </c>
      <c r="E1836" s="4" t="str">
        <f t="shared" si="212"/>
        <v>31</v>
      </c>
      <c r="F1836" s="4" t="str">
        <f>"08"</f>
        <v>08</v>
      </c>
      <c r="G1836" s="4" t="s">
        <v>12</v>
      </c>
      <c r="H1836" s="5">
        <v>0</v>
      </c>
      <c r="I1836" s="6" t="s">
        <v>13</v>
      </c>
      <c r="J1836" s="4">
        <f>SUMPRODUCT(--((A1836=$A$3:$A$2785)*$H$3:$H$2785&gt;H1836))+1</f>
        <v>121</v>
      </c>
    </row>
    <row r="1837" s="1" customFormat="true" customHeight="true" spans="1:10">
      <c r="A1837" s="4" t="str">
        <f t="shared" si="210"/>
        <v>022</v>
      </c>
      <c r="B1837" s="4" t="s">
        <v>34</v>
      </c>
      <c r="C1837" s="4" t="str">
        <f>"李秋红"</f>
        <v>李秋红</v>
      </c>
      <c r="D1837" s="4" t="str">
        <f>"2021013109"</f>
        <v>2021013109</v>
      </c>
      <c r="E1837" s="4" t="str">
        <f t="shared" si="212"/>
        <v>31</v>
      </c>
      <c r="F1837" s="4" t="str">
        <f>"09"</f>
        <v>09</v>
      </c>
      <c r="G1837" s="4" t="s">
        <v>12</v>
      </c>
      <c r="H1837" s="5">
        <v>0</v>
      </c>
      <c r="I1837" s="6" t="s">
        <v>13</v>
      </c>
      <c r="J1837" s="4">
        <f>SUMPRODUCT(--((A1837=$A$3:$A$2785)*$H$3:$H$2785&gt;H1837))+1</f>
        <v>121</v>
      </c>
    </row>
    <row r="1838" s="1" customFormat="true" customHeight="true" spans="1:10">
      <c r="A1838" s="4" t="str">
        <f t="shared" si="210"/>
        <v>022</v>
      </c>
      <c r="B1838" s="4" t="s">
        <v>34</v>
      </c>
      <c r="C1838" s="4" t="str">
        <f>"向沛"</f>
        <v>向沛</v>
      </c>
      <c r="D1838" s="4" t="str">
        <f>"2021013111"</f>
        <v>2021013111</v>
      </c>
      <c r="E1838" s="4" t="str">
        <f t="shared" si="212"/>
        <v>31</v>
      </c>
      <c r="F1838" s="4" t="str">
        <f>"11"</f>
        <v>11</v>
      </c>
      <c r="G1838" s="4" t="s">
        <v>12</v>
      </c>
      <c r="H1838" s="5">
        <v>0</v>
      </c>
      <c r="I1838" s="6" t="s">
        <v>13</v>
      </c>
      <c r="J1838" s="4">
        <f>SUMPRODUCT(--((A1838=$A$3:$A$2785)*$H$3:$H$2785&gt;H1838))+1</f>
        <v>121</v>
      </c>
    </row>
    <row r="1839" s="1" customFormat="true" customHeight="true" spans="1:10">
      <c r="A1839" s="4" t="str">
        <f t="shared" si="210"/>
        <v>022</v>
      </c>
      <c r="B1839" s="4" t="s">
        <v>34</v>
      </c>
      <c r="C1839" s="4" t="str">
        <f>"王立丹"</f>
        <v>王立丹</v>
      </c>
      <c r="D1839" s="4" t="str">
        <f>"2021013112"</f>
        <v>2021013112</v>
      </c>
      <c r="E1839" s="4" t="str">
        <f t="shared" si="212"/>
        <v>31</v>
      </c>
      <c r="F1839" s="4" t="str">
        <f>"12"</f>
        <v>12</v>
      </c>
      <c r="G1839" s="4" t="s">
        <v>12</v>
      </c>
      <c r="H1839" s="5">
        <v>0</v>
      </c>
      <c r="I1839" s="6" t="s">
        <v>13</v>
      </c>
      <c r="J1839" s="4">
        <f>SUMPRODUCT(--((A1839=$A$3:$A$2785)*$H$3:$H$2785&gt;H1839))+1</f>
        <v>121</v>
      </c>
    </row>
    <row r="1840" s="1" customFormat="true" customHeight="true" spans="1:10">
      <c r="A1840" s="4" t="str">
        <f t="shared" si="210"/>
        <v>022</v>
      </c>
      <c r="B1840" s="4" t="s">
        <v>34</v>
      </c>
      <c r="C1840" s="4" t="str">
        <f>"晏玉姣"</f>
        <v>晏玉姣</v>
      </c>
      <c r="D1840" s="4" t="str">
        <f>"2021013115"</f>
        <v>2021013115</v>
      </c>
      <c r="E1840" s="4" t="str">
        <f t="shared" si="212"/>
        <v>31</v>
      </c>
      <c r="F1840" s="4" t="str">
        <f>"15"</f>
        <v>15</v>
      </c>
      <c r="G1840" s="4" t="s">
        <v>12</v>
      </c>
      <c r="H1840" s="5">
        <v>0</v>
      </c>
      <c r="I1840" s="6" t="s">
        <v>13</v>
      </c>
      <c r="J1840" s="4">
        <f>SUMPRODUCT(--((A1840=$A$3:$A$2785)*$H$3:$H$2785&gt;H1840))+1</f>
        <v>121</v>
      </c>
    </row>
    <row r="1841" s="1" customFormat="true" customHeight="true" spans="1:10">
      <c r="A1841" s="4" t="str">
        <f t="shared" si="210"/>
        <v>022</v>
      </c>
      <c r="B1841" s="4" t="s">
        <v>34</v>
      </c>
      <c r="C1841" s="4" t="str">
        <f>"李婉瑕"</f>
        <v>李婉瑕</v>
      </c>
      <c r="D1841" s="4" t="str">
        <f>"2021013117"</f>
        <v>2021013117</v>
      </c>
      <c r="E1841" s="4" t="str">
        <f t="shared" si="212"/>
        <v>31</v>
      </c>
      <c r="F1841" s="4" t="str">
        <f>"17"</f>
        <v>17</v>
      </c>
      <c r="G1841" s="4" t="s">
        <v>12</v>
      </c>
      <c r="H1841" s="5">
        <v>0</v>
      </c>
      <c r="I1841" s="6" t="s">
        <v>13</v>
      </c>
      <c r="J1841" s="4">
        <f>SUMPRODUCT(--((A1841=$A$3:$A$2785)*$H$3:$H$2785&gt;H1841))+1</f>
        <v>121</v>
      </c>
    </row>
    <row r="1842" s="1" customFormat="true" customHeight="true" spans="1:10">
      <c r="A1842" s="4" t="str">
        <f t="shared" si="210"/>
        <v>022</v>
      </c>
      <c r="B1842" s="4" t="s">
        <v>34</v>
      </c>
      <c r="C1842" s="4" t="str">
        <f>"谢攀攀"</f>
        <v>谢攀攀</v>
      </c>
      <c r="D1842" s="4" t="str">
        <f>"2021013119"</f>
        <v>2021013119</v>
      </c>
      <c r="E1842" s="4" t="str">
        <f t="shared" si="212"/>
        <v>31</v>
      </c>
      <c r="F1842" s="4" t="str">
        <f>"19"</f>
        <v>19</v>
      </c>
      <c r="G1842" s="4" t="s">
        <v>12</v>
      </c>
      <c r="H1842" s="5">
        <v>0</v>
      </c>
      <c r="I1842" s="6" t="s">
        <v>13</v>
      </c>
      <c r="J1842" s="4">
        <f>SUMPRODUCT(--((A1842=$A$3:$A$2785)*$H$3:$H$2785&gt;H1842))+1</f>
        <v>121</v>
      </c>
    </row>
    <row r="1843" s="1" customFormat="true" customHeight="true" spans="1:10">
      <c r="A1843" s="4" t="str">
        <f t="shared" si="210"/>
        <v>022</v>
      </c>
      <c r="B1843" s="4" t="s">
        <v>34</v>
      </c>
      <c r="C1843" s="4" t="str">
        <f>"罗澜"</f>
        <v>罗澜</v>
      </c>
      <c r="D1843" s="4" t="str">
        <f>"2021013120"</f>
        <v>2021013120</v>
      </c>
      <c r="E1843" s="4" t="str">
        <f t="shared" si="212"/>
        <v>31</v>
      </c>
      <c r="F1843" s="4" t="str">
        <f>"20"</f>
        <v>20</v>
      </c>
      <c r="G1843" s="4" t="s">
        <v>12</v>
      </c>
      <c r="H1843" s="5">
        <v>0</v>
      </c>
      <c r="I1843" s="6" t="s">
        <v>13</v>
      </c>
      <c r="J1843" s="4">
        <f>SUMPRODUCT(--((A1843=$A$3:$A$2785)*$H$3:$H$2785&gt;H1843))+1</f>
        <v>121</v>
      </c>
    </row>
    <row r="1844" s="1" customFormat="true" customHeight="true" spans="1:10">
      <c r="A1844" s="4" t="str">
        <f t="shared" si="210"/>
        <v>022</v>
      </c>
      <c r="B1844" s="4" t="s">
        <v>34</v>
      </c>
      <c r="C1844" s="4" t="str">
        <f>"唐丽琴"</f>
        <v>唐丽琴</v>
      </c>
      <c r="D1844" s="4" t="str">
        <f>"2021013125"</f>
        <v>2021013125</v>
      </c>
      <c r="E1844" s="4" t="str">
        <f t="shared" si="212"/>
        <v>31</v>
      </c>
      <c r="F1844" s="4" t="str">
        <f>"25"</f>
        <v>25</v>
      </c>
      <c r="G1844" s="4" t="s">
        <v>12</v>
      </c>
      <c r="H1844" s="5">
        <v>0</v>
      </c>
      <c r="I1844" s="6" t="s">
        <v>13</v>
      </c>
      <c r="J1844" s="4">
        <f>SUMPRODUCT(--((A1844=$A$3:$A$2785)*$H$3:$H$2785&gt;H1844))+1</f>
        <v>121</v>
      </c>
    </row>
    <row r="1845" s="1" customFormat="true" customHeight="true" spans="1:10">
      <c r="A1845" s="4" t="str">
        <f t="shared" si="210"/>
        <v>022</v>
      </c>
      <c r="B1845" s="4" t="s">
        <v>34</v>
      </c>
      <c r="C1845" s="4" t="str">
        <f>"谢菁菁"</f>
        <v>谢菁菁</v>
      </c>
      <c r="D1845" s="4" t="str">
        <f>"2021013126"</f>
        <v>2021013126</v>
      </c>
      <c r="E1845" s="4" t="str">
        <f t="shared" si="212"/>
        <v>31</v>
      </c>
      <c r="F1845" s="4" t="str">
        <f>"26"</f>
        <v>26</v>
      </c>
      <c r="G1845" s="4" t="s">
        <v>12</v>
      </c>
      <c r="H1845" s="5">
        <v>0</v>
      </c>
      <c r="I1845" s="6" t="s">
        <v>13</v>
      </c>
      <c r="J1845" s="4">
        <f>SUMPRODUCT(--((A1845=$A$3:$A$2785)*$H$3:$H$2785&gt;H1845))+1</f>
        <v>121</v>
      </c>
    </row>
    <row r="1846" s="1" customFormat="true" customHeight="true" spans="1:10">
      <c r="A1846" s="4" t="str">
        <f t="shared" si="210"/>
        <v>022</v>
      </c>
      <c r="B1846" s="4" t="s">
        <v>34</v>
      </c>
      <c r="C1846" s="4" t="str">
        <f>"余乐"</f>
        <v>余乐</v>
      </c>
      <c r="D1846" s="4" t="str">
        <f>"2021013129"</f>
        <v>2021013129</v>
      </c>
      <c r="E1846" s="4" t="str">
        <f t="shared" si="212"/>
        <v>31</v>
      </c>
      <c r="F1846" s="4" t="str">
        <f>"29"</f>
        <v>29</v>
      </c>
      <c r="G1846" s="4" t="s">
        <v>12</v>
      </c>
      <c r="H1846" s="5">
        <v>0</v>
      </c>
      <c r="I1846" s="6" t="s">
        <v>13</v>
      </c>
      <c r="J1846" s="4">
        <f>SUMPRODUCT(--((A1846=$A$3:$A$2785)*$H$3:$H$2785&gt;H1846))+1</f>
        <v>121</v>
      </c>
    </row>
    <row r="1847" s="1" customFormat="true" customHeight="true" spans="1:10">
      <c r="A1847" s="4" t="str">
        <f t="shared" si="210"/>
        <v>022</v>
      </c>
      <c r="B1847" s="4" t="s">
        <v>34</v>
      </c>
      <c r="C1847" s="4" t="str">
        <f>"刘璐"</f>
        <v>刘璐</v>
      </c>
      <c r="D1847" s="4" t="str">
        <f>"2021013130"</f>
        <v>2021013130</v>
      </c>
      <c r="E1847" s="4" t="str">
        <f t="shared" si="212"/>
        <v>31</v>
      </c>
      <c r="F1847" s="4" t="str">
        <f>"30"</f>
        <v>30</v>
      </c>
      <c r="G1847" s="4" t="s">
        <v>12</v>
      </c>
      <c r="H1847" s="5">
        <v>0</v>
      </c>
      <c r="I1847" s="6" t="s">
        <v>13</v>
      </c>
      <c r="J1847" s="4">
        <f>SUMPRODUCT(--((A1847=$A$3:$A$2785)*$H$3:$H$2785&gt;H1847))+1</f>
        <v>121</v>
      </c>
    </row>
    <row r="1848" s="1" customFormat="true" customHeight="true" spans="1:10">
      <c r="A1848" s="4" t="str">
        <f t="shared" si="210"/>
        <v>022</v>
      </c>
      <c r="B1848" s="4" t="s">
        <v>34</v>
      </c>
      <c r="C1848" s="4" t="str">
        <f>"周洁"</f>
        <v>周洁</v>
      </c>
      <c r="D1848" s="4" t="str">
        <f>"2021013201"</f>
        <v>2021013201</v>
      </c>
      <c r="E1848" s="4" t="str">
        <f t="shared" ref="E1848:E1857" si="213">"32"</f>
        <v>32</v>
      </c>
      <c r="F1848" s="4" t="str">
        <f>"01"</f>
        <v>01</v>
      </c>
      <c r="G1848" s="4" t="s">
        <v>12</v>
      </c>
      <c r="H1848" s="5">
        <v>0</v>
      </c>
      <c r="I1848" s="6" t="s">
        <v>13</v>
      </c>
      <c r="J1848" s="4">
        <f>SUMPRODUCT(--((A1848=$A$3:$A$2785)*$H$3:$H$2785&gt;H1848))+1</f>
        <v>121</v>
      </c>
    </row>
    <row r="1849" s="1" customFormat="true" customHeight="true" spans="1:10">
      <c r="A1849" s="4" t="str">
        <f t="shared" si="210"/>
        <v>022</v>
      </c>
      <c r="B1849" s="4" t="s">
        <v>34</v>
      </c>
      <c r="C1849" s="4" t="str">
        <f>"李宗明"</f>
        <v>李宗明</v>
      </c>
      <c r="D1849" s="4" t="str">
        <f>"2021013204"</f>
        <v>2021013204</v>
      </c>
      <c r="E1849" s="4" t="str">
        <f t="shared" si="213"/>
        <v>32</v>
      </c>
      <c r="F1849" s="4" t="str">
        <f>"04"</f>
        <v>04</v>
      </c>
      <c r="G1849" s="4" t="s">
        <v>12</v>
      </c>
      <c r="H1849" s="5">
        <v>0</v>
      </c>
      <c r="I1849" s="6" t="s">
        <v>13</v>
      </c>
      <c r="J1849" s="4">
        <f>SUMPRODUCT(--((A1849=$A$3:$A$2785)*$H$3:$H$2785&gt;H1849))+1</f>
        <v>121</v>
      </c>
    </row>
    <row r="1850" s="1" customFormat="true" customHeight="true" spans="1:10">
      <c r="A1850" s="4" t="str">
        <f t="shared" si="210"/>
        <v>022</v>
      </c>
      <c r="B1850" s="4" t="s">
        <v>34</v>
      </c>
      <c r="C1850" s="4" t="str">
        <f>"谭芳莲"</f>
        <v>谭芳莲</v>
      </c>
      <c r="D1850" s="4" t="str">
        <f>"2021013205"</f>
        <v>2021013205</v>
      </c>
      <c r="E1850" s="4" t="str">
        <f t="shared" si="213"/>
        <v>32</v>
      </c>
      <c r="F1850" s="4" t="str">
        <f>"05"</f>
        <v>05</v>
      </c>
      <c r="G1850" s="4" t="s">
        <v>12</v>
      </c>
      <c r="H1850" s="5">
        <v>0</v>
      </c>
      <c r="I1850" s="6" t="s">
        <v>13</v>
      </c>
      <c r="J1850" s="4">
        <f>SUMPRODUCT(--((A1850=$A$3:$A$2785)*$H$3:$H$2785&gt;H1850))+1</f>
        <v>121</v>
      </c>
    </row>
    <row r="1851" s="1" customFormat="true" customHeight="true" spans="1:10">
      <c r="A1851" s="4" t="str">
        <f t="shared" si="210"/>
        <v>022</v>
      </c>
      <c r="B1851" s="4" t="s">
        <v>34</v>
      </c>
      <c r="C1851" s="4" t="str">
        <f>"杨兰兰"</f>
        <v>杨兰兰</v>
      </c>
      <c r="D1851" s="4" t="str">
        <f>"2021013207"</f>
        <v>2021013207</v>
      </c>
      <c r="E1851" s="4" t="str">
        <f t="shared" si="213"/>
        <v>32</v>
      </c>
      <c r="F1851" s="4" t="str">
        <f>"07"</f>
        <v>07</v>
      </c>
      <c r="G1851" s="4" t="s">
        <v>12</v>
      </c>
      <c r="H1851" s="5">
        <v>0</v>
      </c>
      <c r="I1851" s="6" t="s">
        <v>13</v>
      </c>
      <c r="J1851" s="4">
        <f>SUMPRODUCT(--((A1851=$A$3:$A$2785)*$H$3:$H$2785&gt;H1851))+1</f>
        <v>121</v>
      </c>
    </row>
    <row r="1852" s="1" customFormat="true" customHeight="true" spans="1:10">
      <c r="A1852" s="4" t="str">
        <f t="shared" si="210"/>
        <v>022</v>
      </c>
      <c r="B1852" s="4" t="s">
        <v>34</v>
      </c>
      <c r="C1852" s="4" t="str">
        <f>"熊晶晶"</f>
        <v>熊晶晶</v>
      </c>
      <c r="D1852" s="4" t="str">
        <f>"2021013208"</f>
        <v>2021013208</v>
      </c>
      <c r="E1852" s="4" t="str">
        <f t="shared" si="213"/>
        <v>32</v>
      </c>
      <c r="F1852" s="4" t="str">
        <f>"08"</f>
        <v>08</v>
      </c>
      <c r="G1852" s="4" t="s">
        <v>12</v>
      </c>
      <c r="H1852" s="5">
        <v>0</v>
      </c>
      <c r="I1852" s="6" t="s">
        <v>13</v>
      </c>
      <c r="J1852" s="4">
        <f>SUMPRODUCT(--((A1852=$A$3:$A$2785)*$H$3:$H$2785&gt;H1852))+1</f>
        <v>121</v>
      </c>
    </row>
    <row r="1853" s="1" customFormat="true" customHeight="true" spans="1:10">
      <c r="A1853" s="4" t="str">
        <f t="shared" si="210"/>
        <v>022</v>
      </c>
      <c r="B1853" s="4" t="s">
        <v>34</v>
      </c>
      <c r="C1853" s="4" t="str">
        <f>"杜萍"</f>
        <v>杜萍</v>
      </c>
      <c r="D1853" s="4" t="str">
        <f>"2021013215"</f>
        <v>2021013215</v>
      </c>
      <c r="E1853" s="4" t="str">
        <f t="shared" si="213"/>
        <v>32</v>
      </c>
      <c r="F1853" s="4" t="str">
        <f>"15"</f>
        <v>15</v>
      </c>
      <c r="G1853" s="4" t="s">
        <v>12</v>
      </c>
      <c r="H1853" s="5">
        <v>0</v>
      </c>
      <c r="I1853" s="6" t="s">
        <v>13</v>
      </c>
      <c r="J1853" s="4">
        <f>SUMPRODUCT(--((A1853=$A$3:$A$2785)*$H$3:$H$2785&gt;H1853))+1</f>
        <v>121</v>
      </c>
    </row>
    <row r="1854" s="1" customFormat="true" customHeight="true" spans="1:10">
      <c r="A1854" s="4" t="str">
        <f t="shared" si="210"/>
        <v>022</v>
      </c>
      <c r="B1854" s="4" t="s">
        <v>34</v>
      </c>
      <c r="C1854" s="4" t="str">
        <f>"丁艳"</f>
        <v>丁艳</v>
      </c>
      <c r="D1854" s="4" t="str">
        <f>"2021013219"</f>
        <v>2021013219</v>
      </c>
      <c r="E1854" s="4" t="str">
        <f t="shared" si="213"/>
        <v>32</v>
      </c>
      <c r="F1854" s="4" t="str">
        <f>"19"</f>
        <v>19</v>
      </c>
      <c r="G1854" s="4" t="s">
        <v>12</v>
      </c>
      <c r="H1854" s="5">
        <v>0</v>
      </c>
      <c r="I1854" s="6" t="s">
        <v>13</v>
      </c>
      <c r="J1854" s="4">
        <f>SUMPRODUCT(--((A1854=$A$3:$A$2785)*$H$3:$H$2785&gt;H1854))+1</f>
        <v>121</v>
      </c>
    </row>
    <row r="1855" s="1" customFormat="true" customHeight="true" spans="1:10">
      <c r="A1855" s="4" t="str">
        <f t="shared" si="210"/>
        <v>022</v>
      </c>
      <c r="B1855" s="4" t="s">
        <v>34</v>
      </c>
      <c r="C1855" s="4" t="str">
        <f>"杨芷林"</f>
        <v>杨芷林</v>
      </c>
      <c r="D1855" s="4" t="str">
        <f>"2021013223"</f>
        <v>2021013223</v>
      </c>
      <c r="E1855" s="4" t="str">
        <f t="shared" si="213"/>
        <v>32</v>
      </c>
      <c r="F1855" s="4" t="str">
        <f>"23"</f>
        <v>23</v>
      </c>
      <c r="G1855" s="4" t="s">
        <v>12</v>
      </c>
      <c r="H1855" s="5">
        <v>0</v>
      </c>
      <c r="I1855" s="6" t="s">
        <v>13</v>
      </c>
      <c r="J1855" s="4">
        <f>SUMPRODUCT(--((A1855=$A$3:$A$2785)*$H$3:$H$2785&gt;H1855))+1</f>
        <v>121</v>
      </c>
    </row>
    <row r="1856" s="1" customFormat="true" customHeight="true" spans="1:10">
      <c r="A1856" s="4" t="str">
        <f t="shared" si="210"/>
        <v>022</v>
      </c>
      <c r="B1856" s="4" t="s">
        <v>34</v>
      </c>
      <c r="C1856" s="4" t="str">
        <f>"彭利萍"</f>
        <v>彭利萍</v>
      </c>
      <c r="D1856" s="4" t="str">
        <f>"2021013224"</f>
        <v>2021013224</v>
      </c>
      <c r="E1856" s="4" t="str">
        <f t="shared" si="213"/>
        <v>32</v>
      </c>
      <c r="F1856" s="4" t="str">
        <f>"24"</f>
        <v>24</v>
      </c>
      <c r="G1856" s="4" t="s">
        <v>12</v>
      </c>
      <c r="H1856" s="5">
        <v>0</v>
      </c>
      <c r="I1856" s="6" t="s">
        <v>13</v>
      </c>
      <c r="J1856" s="4">
        <f>SUMPRODUCT(--((A1856=$A$3:$A$2785)*$H$3:$H$2785&gt;H1856))+1</f>
        <v>121</v>
      </c>
    </row>
    <row r="1857" s="1" customFormat="true" customHeight="true" spans="1:10">
      <c r="A1857" s="4" t="str">
        <f t="shared" si="210"/>
        <v>022</v>
      </c>
      <c r="B1857" s="4" t="s">
        <v>34</v>
      </c>
      <c r="C1857" s="4" t="str">
        <f>"宁思凝"</f>
        <v>宁思凝</v>
      </c>
      <c r="D1857" s="4" t="str">
        <f>"2021013229"</f>
        <v>2021013229</v>
      </c>
      <c r="E1857" s="4" t="str">
        <f t="shared" si="213"/>
        <v>32</v>
      </c>
      <c r="F1857" s="4" t="str">
        <f>"29"</f>
        <v>29</v>
      </c>
      <c r="G1857" s="4" t="s">
        <v>12</v>
      </c>
      <c r="H1857" s="5">
        <v>0</v>
      </c>
      <c r="I1857" s="6" t="s">
        <v>13</v>
      </c>
      <c r="J1857" s="4">
        <f>SUMPRODUCT(--((A1857=$A$3:$A$2785)*$H$3:$H$2785&gt;H1857))+1</f>
        <v>121</v>
      </c>
    </row>
    <row r="1858" s="1" customFormat="true" customHeight="true" spans="1:10">
      <c r="A1858" s="4" t="str">
        <f t="shared" si="210"/>
        <v>022</v>
      </c>
      <c r="B1858" s="4" t="s">
        <v>34</v>
      </c>
      <c r="C1858" s="4" t="str">
        <f>"唐永海"</f>
        <v>唐永海</v>
      </c>
      <c r="D1858" s="4" t="str">
        <f>"2021013301"</f>
        <v>2021013301</v>
      </c>
      <c r="E1858" s="4" t="str">
        <f t="shared" ref="E1858:E1868" si="214">"33"</f>
        <v>33</v>
      </c>
      <c r="F1858" s="4" t="str">
        <f>"01"</f>
        <v>01</v>
      </c>
      <c r="G1858" s="4" t="s">
        <v>12</v>
      </c>
      <c r="H1858" s="5">
        <v>0</v>
      </c>
      <c r="I1858" s="6" t="s">
        <v>13</v>
      </c>
      <c r="J1858" s="4">
        <f>SUMPRODUCT(--((A1858=$A$3:$A$2785)*$H$3:$H$2785&gt;H1858))+1</f>
        <v>121</v>
      </c>
    </row>
    <row r="1859" s="1" customFormat="true" customHeight="true" spans="1:10">
      <c r="A1859" s="4" t="str">
        <f t="shared" si="210"/>
        <v>022</v>
      </c>
      <c r="B1859" s="4" t="s">
        <v>34</v>
      </c>
      <c r="C1859" s="4" t="str">
        <f>"刘芳"</f>
        <v>刘芳</v>
      </c>
      <c r="D1859" s="4" t="str">
        <f>"2021013302"</f>
        <v>2021013302</v>
      </c>
      <c r="E1859" s="4" t="str">
        <f t="shared" si="214"/>
        <v>33</v>
      </c>
      <c r="F1859" s="4" t="str">
        <f>"02"</f>
        <v>02</v>
      </c>
      <c r="G1859" s="4" t="s">
        <v>12</v>
      </c>
      <c r="H1859" s="5">
        <v>0</v>
      </c>
      <c r="I1859" s="6" t="s">
        <v>13</v>
      </c>
      <c r="J1859" s="4">
        <f>SUMPRODUCT(--((A1859=$A$3:$A$2785)*$H$3:$H$2785&gt;H1859))+1</f>
        <v>121</v>
      </c>
    </row>
    <row r="1860" s="1" customFormat="true" customHeight="true" spans="1:10">
      <c r="A1860" s="4" t="str">
        <f t="shared" si="210"/>
        <v>022</v>
      </c>
      <c r="B1860" s="4" t="s">
        <v>34</v>
      </c>
      <c r="C1860" s="4" t="str">
        <f>"杨丽"</f>
        <v>杨丽</v>
      </c>
      <c r="D1860" s="4" t="str">
        <f>"2021013303"</f>
        <v>2021013303</v>
      </c>
      <c r="E1860" s="4" t="str">
        <f t="shared" si="214"/>
        <v>33</v>
      </c>
      <c r="F1860" s="4" t="str">
        <f>"03"</f>
        <v>03</v>
      </c>
      <c r="G1860" s="4" t="s">
        <v>12</v>
      </c>
      <c r="H1860" s="5">
        <v>0</v>
      </c>
      <c r="I1860" s="6" t="s">
        <v>13</v>
      </c>
      <c r="J1860" s="4">
        <f>SUMPRODUCT(--((A1860=$A$3:$A$2785)*$H$3:$H$2785&gt;H1860))+1</f>
        <v>121</v>
      </c>
    </row>
    <row r="1861" s="1" customFormat="true" customHeight="true" spans="1:10">
      <c r="A1861" s="4" t="str">
        <f t="shared" si="210"/>
        <v>022</v>
      </c>
      <c r="B1861" s="4" t="s">
        <v>34</v>
      </c>
      <c r="C1861" s="4" t="str">
        <f>"曾嘉琪"</f>
        <v>曾嘉琪</v>
      </c>
      <c r="D1861" s="4" t="str">
        <f>"2021013305"</f>
        <v>2021013305</v>
      </c>
      <c r="E1861" s="4" t="str">
        <f t="shared" si="214"/>
        <v>33</v>
      </c>
      <c r="F1861" s="4" t="str">
        <f>"05"</f>
        <v>05</v>
      </c>
      <c r="G1861" s="4" t="s">
        <v>12</v>
      </c>
      <c r="H1861" s="5">
        <v>0</v>
      </c>
      <c r="I1861" s="6" t="s">
        <v>13</v>
      </c>
      <c r="J1861" s="4">
        <f>SUMPRODUCT(--((A1861=$A$3:$A$2785)*$H$3:$H$2785&gt;H1861))+1</f>
        <v>121</v>
      </c>
    </row>
    <row r="1862" s="1" customFormat="true" customHeight="true" spans="1:10">
      <c r="A1862" s="4" t="str">
        <f t="shared" si="210"/>
        <v>022</v>
      </c>
      <c r="B1862" s="4" t="s">
        <v>34</v>
      </c>
      <c r="C1862" s="4" t="str">
        <f>"石玉红"</f>
        <v>石玉红</v>
      </c>
      <c r="D1862" s="4" t="str">
        <f>"2021013308"</f>
        <v>2021013308</v>
      </c>
      <c r="E1862" s="4" t="str">
        <f t="shared" si="214"/>
        <v>33</v>
      </c>
      <c r="F1862" s="4" t="str">
        <f>"08"</f>
        <v>08</v>
      </c>
      <c r="G1862" s="4" t="s">
        <v>12</v>
      </c>
      <c r="H1862" s="5">
        <v>0</v>
      </c>
      <c r="I1862" s="6" t="s">
        <v>13</v>
      </c>
      <c r="J1862" s="4">
        <f>SUMPRODUCT(--((A1862=$A$3:$A$2785)*$H$3:$H$2785&gt;H1862))+1</f>
        <v>121</v>
      </c>
    </row>
    <row r="1863" s="1" customFormat="true" customHeight="true" spans="1:10">
      <c r="A1863" s="4" t="str">
        <f t="shared" si="210"/>
        <v>022</v>
      </c>
      <c r="B1863" s="4" t="s">
        <v>34</v>
      </c>
      <c r="C1863" s="4" t="str">
        <f>"龙游"</f>
        <v>龙游</v>
      </c>
      <c r="D1863" s="4" t="str">
        <f>"2021013312"</f>
        <v>2021013312</v>
      </c>
      <c r="E1863" s="4" t="str">
        <f t="shared" si="214"/>
        <v>33</v>
      </c>
      <c r="F1863" s="4" t="str">
        <f>"12"</f>
        <v>12</v>
      </c>
      <c r="G1863" s="4" t="s">
        <v>12</v>
      </c>
      <c r="H1863" s="5">
        <v>0</v>
      </c>
      <c r="I1863" s="6" t="s">
        <v>13</v>
      </c>
      <c r="J1863" s="4">
        <f>SUMPRODUCT(--((A1863=$A$3:$A$2785)*$H$3:$H$2785&gt;H1863))+1</f>
        <v>121</v>
      </c>
    </row>
    <row r="1864" s="1" customFormat="true" customHeight="true" spans="1:10">
      <c r="A1864" s="4" t="str">
        <f t="shared" si="210"/>
        <v>022</v>
      </c>
      <c r="B1864" s="4" t="s">
        <v>34</v>
      </c>
      <c r="C1864" s="4" t="str">
        <f>"李惠敏"</f>
        <v>李惠敏</v>
      </c>
      <c r="D1864" s="4" t="str">
        <f>"2021013313"</f>
        <v>2021013313</v>
      </c>
      <c r="E1864" s="4" t="str">
        <f t="shared" si="214"/>
        <v>33</v>
      </c>
      <c r="F1864" s="4" t="str">
        <f>"13"</f>
        <v>13</v>
      </c>
      <c r="G1864" s="4" t="s">
        <v>12</v>
      </c>
      <c r="H1864" s="5">
        <v>0</v>
      </c>
      <c r="I1864" s="6" t="s">
        <v>13</v>
      </c>
      <c r="J1864" s="4">
        <f>SUMPRODUCT(--((A1864=$A$3:$A$2785)*$H$3:$H$2785&gt;H1864))+1</f>
        <v>121</v>
      </c>
    </row>
    <row r="1865" s="1" customFormat="true" customHeight="true" spans="1:10">
      <c r="A1865" s="4" t="str">
        <f t="shared" si="210"/>
        <v>022</v>
      </c>
      <c r="B1865" s="4" t="s">
        <v>34</v>
      </c>
      <c r="C1865" s="4" t="str">
        <f>"刘嘉玲"</f>
        <v>刘嘉玲</v>
      </c>
      <c r="D1865" s="4" t="str">
        <f>"2021013315"</f>
        <v>2021013315</v>
      </c>
      <c r="E1865" s="4" t="str">
        <f t="shared" si="214"/>
        <v>33</v>
      </c>
      <c r="F1865" s="4" t="str">
        <f>"15"</f>
        <v>15</v>
      </c>
      <c r="G1865" s="4" t="s">
        <v>12</v>
      </c>
      <c r="H1865" s="5">
        <v>0</v>
      </c>
      <c r="I1865" s="6" t="s">
        <v>13</v>
      </c>
      <c r="J1865" s="4">
        <f>SUMPRODUCT(--((A1865=$A$3:$A$2785)*$H$3:$H$2785&gt;H1865))+1</f>
        <v>121</v>
      </c>
    </row>
    <row r="1866" s="1" customFormat="true" customHeight="true" spans="1:10">
      <c r="A1866" s="4" t="str">
        <f t="shared" si="210"/>
        <v>022</v>
      </c>
      <c r="B1866" s="4" t="s">
        <v>34</v>
      </c>
      <c r="C1866" s="4" t="str">
        <f>"陈雨昂"</f>
        <v>陈雨昂</v>
      </c>
      <c r="D1866" s="4" t="str">
        <f>"2021013321"</f>
        <v>2021013321</v>
      </c>
      <c r="E1866" s="4" t="str">
        <f t="shared" si="214"/>
        <v>33</v>
      </c>
      <c r="F1866" s="4" t="str">
        <f>"21"</f>
        <v>21</v>
      </c>
      <c r="G1866" s="4" t="s">
        <v>12</v>
      </c>
      <c r="H1866" s="5">
        <v>0</v>
      </c>
      <c r="I1866" s="6" t="s">
        <v>13</v>
      </c>
      <c r="J1866" s="4">
        <f>SUMPRODUCT(--((A1866=$A$3:$A$2785)*$H$3:$H$2785&gt;H1866))+1</f>
        <v>121</v>
      </c>
    </row>
    <row r="1867" s="1" customFormat="true" customHeight="true" spans="1:10">
      <c r="A1867" s="4" t="str">
        <f t="shared" si="210"/>
        <v>022</v>
      </c>
      <c r="B1867" s="4" t="s">
        <v>34</v>
      </c>
      <c r="C1867" s="4" t="str">
        <f>"刘颖臻"</f>
        <v>刘颖臻</v>
      </c>
      <c r="D1867" s="4" t="str">
        <f>"2021013322"</f>
        <v>2021013322</v>
      </c>
      <c r="E1867" s="4" t="str">
        <f t="shared" si="214"/>
        <v>33</v>
      </c>
      <c r="F1867" s="4" t="str">
        <f>"22"</f>
        <v>22</v>
      </c>
      <c r="G1867" s="4" t="s">
        <v>12</v>
      </c>
      <c r="H1867" s="5">
        <v>0</v>
      </c>
      <c r="I1867" s="6" t="s">
        <v>13</v>
      </c>
      <c r="J1867" s="4">
        <f>SUMPRODUCT(--((A1867=$A$3:$A$2785)*$H$3:$H$2785&gt;H1867))+1</f>
        <v>121</v>
      </c>
    </row>
    <row r="1868" s="1" customFormat="true" customHeight="true" spans="1:10">
      <c r="A1868" s="4" t="str">
        <f t="shared" si="210"/>
        <v>022</v>
      </c>
      <c r="B1868" s="4" t="s">
        <v>34</v>
      </c>
      <c r="C1868" s="4" t="str">
        <f>"刘姣"</f>
        <v>刘姣</v>
      </c>
      <c r="D1868" s="4" t="str">
        <f>"2021013323"</f>
        <v>2021013323</v>
      </c>
      <c r="E1868" s="4" t="str">
        <f t="shared" si="214"/>
        <v>33</v>
      </c>
      <c r="F1868" s="4" t="str">
        <f>"23"</f>
        <v>23</v>
      </c>
      <c r="G1868" s="4" t="s">
        <v>12</v>
      </c>
      <c r="H1868" s="5">
        <v>0</v>
      </c>
      <c r="I1868" s="6" t="s">
        <v>13</v>
      </c>
      <c r="J1868" s="4">
        <f>SUMPRODUCT(--((A1868=$A$3:$A$2785)*$H$3:$H$2785&gt;H1868))+1</f>
        <v>121</v>
      </c>
    </row>
    <row r="1869" s="1" customFormat="true" customHeight="true" spans="1:10">
      <c r="A1869" s="4" t="str">
        <f t="shared" ref="A1869:A1932" si="215">"023"</f>
        <v>023</v>
      </c>
      <c r="B1869" s="4" t="s">
        <v>35</v>
      </c>
      <c r="C1869" s="4" t="str">
        <f>"李艺"</f>
        <v>李艺</v>
      </c>
      <c r="D1869" s="4" t="str">
        <f>"2021014326"</f>
        <v>2021014326</v>
      </c>
      <c r="E1869" s="4" t="str">
        <f t="shared" ref="E1869:E1873" si="216">"43"</f>
        <v>43</v>
      </c>
      <c r="F1869" s="4" t="str">
        <f>"26"</f>
        <v>26</v>
      </c>
      <c r="G1869" s="4" t="s">
        <v>12</v>
      </c>
      <c r="H1869" s="5">
        <v>88</v>
      </c>
      <c r="I1869" s="4"/>
      <c r="J1869" s="4">
        <f>SUMPRODUCT(--((A1869=$A$3:$A$2785)*$H$3:$H$2785&gt;H1869))+1</f>
        <v>1</v>
      </c>
    </row>
    <row r="1870" s="1" customFormat="true" customHeight="true" spans="1:10">
      <c r="A1870" s="4" t="str">
        <f t="shared" si="215"/>
        <v>023</v>
      </c>
      <c r="B1870" s="4" t="s">
        <v>35</v>
      </c>
      <c r="C1870" s="4" t="str">
        <f>"唐蜜"</f>
        <v>唐蜜</v>
      </c>
      <c r="D1870" s="4" t="str">
        <f>"2021014501"</f>
        <v>2021014501</v>
      </c>
      <c r="E1870" s="4" t="str">
        <f>"45"</f>
        <v>45</v>
      </c>
      <c r="F1870" s="4" t="str">
        <f>"01"</f>
        <v>01</v>
      </c>
      <c r="G1870" s="4" t="s">
        <v>12</v>
      </c>
      <c r="H1870" s="5">
        <v>87.25</v>
      </c>
      <c r="I1870" s="4"/>
      <c r="J1870" s="4">
        <f>SUMPRODUCT(--((A1870=$A$3:$A$2785)*$H$3:$H$2785&gt;H1870))+1</f>
        <v>2</v>
      </c>
    </row>
    <row r="1871" s="1" customFormat="true" customHeight="true" spans="1:10">
      <c r="A1871" s="4" t="str">
        <f t="shared" si="215"/>
        <v>023</v>
      </c>
      <c r="B1871" s="4" t="s">
        <v>35</v>
      </c>
      <c r="C1871" s="4" t="str">
        <f>"黄丽绢"</f>
        <v>黄丽绢</v>
      </c>
      <c r="D1871" s="4" t="str">
        <f>"2021014228"</f>
        <v>2021014228</v>
      </c>
      <c r="E1871" s="4" t="str">
        <f>"42"</f>
        <v>42</v>
      </c>
      <c r="F1871" s="4" t="str">
        <f>"28"</f>
        <v>28</v>
      </c>
      <c r="G1871" s="4" t="s">
        <v>12</v>
      </c>
      <c r="H1871" s="5">
        <v>84.5</v>
      </c>
      <c r="I1871" s="4"/>
      <c r="J1871" s="4">
        <f>SUMPRODUCT(--((A1871=$A$3:$A$2785)*$H$3:$H$2785&gt;H1871))+1</f>
        <v>3</v>
      </c>
    </row>
    <row r="1872" s="1" customFormat="true" customHeight="true" spans="1:10">
      <c r="A1872" s="4" t="str">
        <f t="shared" si="215"/>
        <v>023</v>
      </c>
      <c r="B1872" s="4" t="s">
        <v>35</v>
      </c>
      <c r="C1872" s="4" t="str">
        <f>"杨超群"</f>
        <v>杨超群</v>
      </c>
      <c r="D1872" s="4" t="str">
        <f>"2021014308"</f>
        <v>2021014308</v>
      </c>
      <c r="E1872" s="4" t="str">
        <f t="shared" si="216"/>
        <v>43</v>
      </c>
      <c r="F1872" s="4" t="str">
        <f>"08"</f>
        <v>08</v>
      </c>
      <c r="G1872" s="4" t="s">
        <v>12</v>
      </c>
      <c r="H1872" s="5">
        <v>84.5</v>
      </c>
      <c r="I1872" s="4"/>
      <c r="J1872" s="4">
        <f>SUMPRODUCT(--((A1872=$A$3:$A$2785)*$H$3:$H$2785&gt;H1872))+1</f>
        <v>3</v>
      </c>
    </row>
    <row r="1873" s="1" customFormat="true" customHeight="true" spans="1:10">
      <c r="A1873" s="4" t="str">
        <f t="shared" si="215"/>
        <v>023</v>
      </c>
      <c r="B1873" s="4" t="s">
        <v>35</v>
      </c>
      <c r="C1873" s="4" t="str">
        <f>"翟梦芝"</f>
        <v>翟梦芝</v>
      </c>
      <c r="D1873" s="4" t="str">
        <f>"2021014311"</f>
        <v>2021014311</v>
      </c>
      <c r="E1873" s="4" t="str">
        <f t="shared" si="216"/>
        <v>43</v>
      </c>
      <c r="F1873" s="4" t="str">
        <f>"11"</f>
        <v>11</v>
      </c>
      <c r="G1873" s="4" t="s">
        <v>12</v>
      </c>
      <c r="H1873" s="5">
        <v>84.5</v>
      </c>
      <c r="I1873" s="4"/>
      <c r="J1873" s="4">
        <f>SUMPRODUCT(--((A1873=$A$3:$A$2785)*$H$3:$H$2785&gt;H1873))+1</f>
        <v>3</v>
      </c>
    </row>
    <row r="1874" s="1" customFormat="true" customHeight="true" spans="1:10">
      <c r="A1874" s="4" t="str">
        <f t="shared" si="215"/>
        <v>023</v>
      </c>
      <c r="B1874" s="4" t="s">
        <v>35</v>
      </c>
      <c r="C1874" s="4" t="str">
        <f>"成蕙君"</f>
        <v>成蕙君</v>
      </c>
      <c r="D1874" s="4" t="str">
        <f>"2021014222"</f>
        <v>2021014222</v>
      </c>
      <c r="E1874" s="4" t="str">
        <f>"42"</f>
        <v>42</v>
      </c>
      <c r="F1874" s="4" t="str">
        <f>"22"</f>
        <v>22</v>
      </c>
      <c r="G1874" s="4" t="s">
        <v>12</v>
      </c>
      <c r="H1874" s="5">
        <v>84</v>
      </c>
      <c r="I1874" s="4"/>
      <c r="J1874" s="4">
        <f>SUMPRODUCT(--((A1874=$A$3:$A$2785)*$H$3:$H$2785&gt;H1874))+1</f>
        <v>6</v>
      </c>
    </row>
    <row r="1875" s="1" customFormat="true" customHeight="true" spans="1:10">
      <c r="A1875" s="4" t="str">
        <f t="shared" si="215"/>
        <v>023</v>
      </c>
      <c r="B1875" s="4" t="s">
        <v>35</v>
      </c>
      <c r="C1875" s="4" t="str">
        <f>"龚园"</f>
        <v>龚园</v>
      </c>
      <c r="D1875" s="4" t="str">
        <f>"2021014419"</f>
        <v>2021014419</v>
      </c>
      <c r="E1875" s="4" t="str">
        <f>"44"</f>
        <v>44</v>
      </c>
      <c r="F1875" s="4" t="str">
        <f>"19"</f>
        <v>19</v>
      </c>
      <c r="G1875" s="4" t="s">
        <v>12</v>
      </c>
      <c r="H1875" s="5">
        <v>84</v>
      </c>
      <c r="I1875" s="4"/>
      <c r="J1875" s="4">
        <f>SUMPRODUCT(--((A1875=$A$3:$A$2785)*$H$3:$H$2785&gt;H1875))+1</f>
        <v>6</v>
      </c>
    </row>
    <row r="1876" s="1" customFormat="true" customHeight="true" spans="1:10">
      <c r="A1876" s="4" t="str">
        <f t="shared" si="215"/>
        <v>023</v>
      </c>
      <c r="B1876" s="4" t="s">
        <v>35</v>
      </c>
      <c r="C1876" s="4" t="str">
        <f>"李婧"</f>
        <v>李婧</v>
      </c>
      <c r="D1876" s="4" t="str">
        <f>"2021014325"</f>
        <v>2021014325</v>
      </c>
      <c r="E1876" s="4" t="str">
        <f t="shared" ref="E1876:E1880" si="217">"43"</f>
        <v>43</v>
      </c>
      <c r="F1876" s="4" t="str">
        <f>"25"</f>
        <v>25</v>
      </c>
      <c r="G1876" s="4" t="s">
        <v>12</v>
      </c>
      <c r="H1876" s="5">
        <v>83.75</v>
      </c>
      <c r="I1876" s="4"/>
      <c r="J1876" s="4">
        <f>SUMPRODUCT(--((A1876=$A$3:$A$2785)*$H$3:$H$2785&gt;H1876))+1</f>
        <v>8</v>
      </c>
    </row>
    <row r="1877" s="1" customFormat="true" customHeight="true" spans="1:10">
      <c r="A1877" s="4" t="str">
        <f t="shared" si="215"/>
        <v>023</v>
      </c>
      <c r="B1877" s="4" t="s">
        <v>35</v>
      </c>
      <c r="C1877" s="4" t="str">
        <f>"王静娴"</f>
        <v>王静娴</v>
      </c>
      <c r="D1877" s="4" t="str">
        <f>"2021014312"</f>
        <v>2021014312</v>
      </c>
      <c r="E1877" s="4" t="str">
        <f t="shared" si="217"/>
        <v>43</v>
      </c>
      <c r="F1877" s="4" t="str">
        <f>"12"</f>
        <v>12</v>
      </c>
      <c r="G1877" s="4" t="s">
        <v>12</v>
      </c>
      <c r="H1877" s="5">
        <v>83.25</v>
      </c>
      <c r="I1877" s="4"/>
      <c r="J1877" s="4">
        <f>SUMPRODUCT(--((A1877=$A$3:$A$2785)*$H$3:$H$2785&gt;H1877))+1</f>
        <v>9</v>
      </c>
    </row>
    <row r="1878" s="1" customFormat="true" customHeight="true" spans="1:10">
      <c r="A1878" s="4" t="str">
        <f t="shared" si="215"/>
        <v>023</v>
      </c>
      <c r="B1878" s="4" t="s">
        <v>35</v>
      </c>
      <c r="C1878" s="4" t="str">
        <f>"苏安慧"</f>
        <v>苏安慧</v>
      </c>
      <c r="D1878" s="4" t="str">
        <f>"2021014427"</f>
        <v>2021014427</v>
      </c>
      <c r="E1878" s="4" t="str">
        <f>"44"</f>
        <v>44</v>
      </c>
      <c r="F1878" s="4" t="str">
        <f>"27"</f>
        <v>27</v>
      </c>
      <c r="G1878" s="4" t="s">
        <v>12</v>
      </c>
      <c r="H1878" s="5">
        <v>83.25</v>
      </c>
      <c r="I1878" s="4"/>
      <c r="J1878" s="4">
        <f>SUMPRODUCT(--((A1878=$A$3:$A$2785)*$H$3:$H$2785&gt;H1878))+1</f>
        <v>9</v>
      </c>
    </row>
    <row r="1879" s="1" customFormat="true" customHeight="true" spans="1:10">
      <c r="A1879" s="4" t="str">
        <f t="shared" si="215"/>
        <v>023</v>
      </c>
      <c r="B1879" s="4" t="s">
        <v>35</v>
      </c>
      <c r="C1879" s="4" t="str">
        <f>"彭心奕"</f>
        <v>彭心奕</v>
      </c>
      <c r="D1879" s="4" t="str">
        <f>"2021014226"</f>
        <v>2021014226</v>
      </c>
      <c r="E1879" s="4" t="str">
        <f>"42"</f>
        <v>42</v>
      </c>
      <c r="F1879" s="4" t="str">
        <f>"26"</f>
        <v>26</v>
      </c>
      <c r="G1879" s="4" t="s">
        <v>12</v>
      </c>
      <c r="H1879" s="5">
        <v>83</v>
      </c>
      <c r="I1879" s="4"/>
      <c r="J1879" s="4">
        <f>SUMPRODUCT(--((A1879=$A$3:$A$2785)*$H$3:$H$2785&gt;H1879))+1</f>
        <v>11</v>
      </c>
    </row>
    <row r="1880" s="1" customFormat="true" customHeight="true" spans="1:10">
      <c r="A1880" s="4" t="str">
        <f t="shared" si="215"/>
        <v>023</v>
      </c>
      <c r="B1880" s="4" t="s">
        <v>35</v>
      </c>
      <c r="C1880" s="4" t="str">
        <f>"李明霞"</f>
        <v>李明霞</v>
      </c>
      <c r="D1880" s="4" t="str">
        <f>"2021014329"</f>
        <v>2021014329</v>
      </c>
      <c r="E1880" s="4" t="str">
        <f t="shared" si="217"/>
        <v>43</v>
      </c>
      <c r="F1880" s="4" t="str">
        <f>"29"</f>
        <v>29</v>
      </c>
      <c r="G1880" s="4" t="s">
        <v>12</v>
      </c>
      <c r="H1880" s="5">
        <v>83</v>
      </c>
      <c r="I1880" s="4"/>
      <c r="J1880" s="4">
        <f>SUMPRODUCT(--((A1880=$A$3:$A$2785)*$H$3:$H$2785&gt;H1880))+1</f>
        <v>11</v>
      </c>
    </row>
    <row r="1881" s="1" customFormat="true" customHeight="true" spans="1:10">
      <c r="A1881" s="4" t="str">
        <f t="shared" si="215"/>
        <v>023</v>
      </c>
      <c r="B1881" s="4" t="s">
        <v>35</v>
      </c>
      <c r="C1881" s="4" t="str">
        <f>"彭文明"</f>
        <v>彭文明</v>
      </c>
      <c r="D1881" s="4" t="str">
        <f>"2021014223"</f>
        <v>2021014223</v>
      </c>
      <c r="E1881" s="4" t="str">
        <f>"42"</f>
        <v>42</v>
      </c>
      <c r="F1881" s="4" t="str">
        <f>"23"</f>
        <v>23</v>
      </c>
      <c r="G1881" s="4" t="s">
        <v>12</v>
      </c>
      <c r="H1881" s="5">
        <v>82.75</v>
      </c>
      <c r="I1881" s="4"/>
      <c r="J1881" s="4">
        <f>SUMPRODUCT(--((A1881=$A$3:$A$2785)*$H$3:$H$2785&gt;H1881))+1</f>
        <v>13</v>
      </c>
    </row>
    <row r="1882" s="1" customFormat="true" customHeight="true" spans="1:10">
      <c r="A1882" s="4" t="str">
        <f t="shared" si="215"/>
        <v>023</v>
      </c>
      <c r="B1882" s="4" t="s">
        <v>35</v>
      </c>
      <c r="C1882" s="4" t="str">
        <f>"张雨婷"</f>
        <v>张雨婷</v>
      </c>
      <c r="D1882" s="4" t="str">
        <f>"2021014417"</f>
        <v>2021014417</v>
      </c>
      <c r="E1882" s="4" t="str">
        <f t="shared" ref="E1882:E1887" si="218">"44"</f>
        <v>44</v>
      </c>
      <c r="F1882" s="4" t="str">
        <f>"17"</f>
        <v>17</v>
      </c>
      <c r="G1882" s="4" t="s">
        <v>12</v>
      </c>
      <c r="H1882" s="5">
        <v>82.25</v>
      </c>
      <c r="I1882" s="4"/>
      <c r="J1882" s="4">
        <f>SUMPRODUCT(--((A1882=$A$3:$A$2785)*$H$3:$H$2785&gt;H1882))+1</f>
        <v>14</v>
      </c>
    </row>
    <row r="1883" s="1" customFormat="true" customHeight="true" spans="1:10">
      <c r="A1883" s="4" t="str">
        <f t="shared" si="215"/>
        <v>023</v>
      </c>
      <c r="B1883" s="4" t="s">
        <v>35</v>
      </c>
      <c r="C1883" s="4" t="str">
        <f>"袁朝君"</f>
        <v>袁朝君</v>
      </c>
      <c r="D1883" s="4" t="str">
        <f>"2021014314"</f>
        <v>2021014314</v>
      </c>
      <c r="E1883" s="4" t="str">
        <f>"43"</f>
        <v>43</v>
      </c>
      <c r="F1883" s="4" t="str">
        <f>"14"</f>
        <v>14</v>
      </c>
      <c r="G1883" s="4" t="s">
        <v>12</v>
      </c>
      <c r="H1883" s="5">
        <v>82</v>
      </c>
      <c r="I1883" s="4"/>
      <c r="J1883" s="4">
        <f>SUMPRODUCT(--((A1883=$A$3:$A$2785)*$H$3:$H$2785&gt;H1883))+1</f>
        <v>15</v>
      </c>
    </row>
    <row r="1884" s="1" customFormat="true" customHeight="true" spans="1:10">
      <c r="A1884" s="4" t="str">
        <f t="shared" si="215"/>
        <v>023</v>
      </c>
      <c r="B1884" s="4" t="s">
        <v>35</v>
      </c>
      <c r="C1884" s="4" t="str">
        <f>"申慧玲"</f>
        <v>申慧玲</v>
      </c>
      <c r="D1884" s="4" t="str">
        <f>"2021014315"</f>
        <v>2021014315</v>
      </c>
      <c r="E1884" s="4" t="str">
        <f>"43"</f>
        <v>43</v>
      </c>
      <c r="F1884" s="4" t="str">
        <f>"15"</f>
        <v>15</v>
      </c>
      <c r="G1884" s="4" t="s">
        <v>12</v>
      </c>
      <c r="H1884" s="5">
        <v>81.5</v>
      </c>
      <c r="I1884" s="4"/>
      <c r="J1884" s="4">
        <f>SUMPRODUCT(--((A1884=$A$3:$A$2785)*$H$3:$H$2785&gt;H1884))+1</f>
        <v>16</v>
      </c>
    </row>
    <row r="1885" s="1" customFormat="true" customHeight="true" spans="1:10">
      <c r="A1885" s="4" t="str">
        <f t="shared" si="215"/>
        <v>023</v>
      </c>
      <c r="B1885" s="4" t="s">
        <v>35</v>
      </c>
      <c r="C1885" s="4" t="str">
        <f>"潘婷"</f>
        <v>潘婷</v>
      </c>
      <c r="D1885" s="4" t="str">
        <f>"2021014401"</f>
        <v>2021014401</v>
      </c>
      <c r="E1885" s="4" t="str">
        <f t="shared" si="218"/>
        <v>44</v>
      </c>
      <c r="F1885" s="4" t="str">
        <f>"01"</f>
        <v>01</v>
      </c>
      <c r="G1885" s="4" t="s">
        <v>12</v>
      </c>
      <c r="H1885" s="5">
        <v>81.5</v>
      </c>
      <c r="I1885" s="4"/>
      <c r="J1885" s="4">
        <f>SUMPRODUCT(--((A1885=$A$3:$A$2785)*$H$3:$H$2785&gt;H1885))+1</f>
        <v>16</v>
      </c>
    </row>
    <row r="1886" s="1" customFormat="true" customHeight="true" spans="1:10">
      <c r="A1886" s="4" t="str">
        <f t="shared" si="215"/>
        <v>023</v>
      </c>
      <c r="B1886" s="4" t="s">
        <v>35</v>
      </c>
      <c r="C1886" s="4" t="str">
        <f>"李林芬"</f>
        <v>李林芬</v>
      </c>
      <c r="D1886" s="4" t="str">
        <f>"2021014202"</f>
        <v>2021014202</v>
      </c>
      <c r="E1886" s="4" t="str">
        <f t="shared" ref="E1886:E1891" si="219">"42"</f>
        <v>42</v>
      </c>
      <c r="F1886" s="4" t="str">
        <f>"02"</f>
        <v>02</v>
      </c>
      <c r="G1886" s="4" t="s">
        <v>12</v>
      </c>
      <c r="H1886" s="5">
        <v>81</v>
      </c>
      <c r="I1886" s="4"/>
      <c r="J1886" s="4">
        <f>SUMPRODUCT(--((A1886=$A$3:$A$2785)*$H$3:$H$2785&gt;H1886))+1</f>
        <v>18</v>
      </c>
    </row>
    <row r="1887" s="1" customFormat="true" customHeight="true" spans="1:10">
      <c r="A1887" s="4" t="str">
        <f t="shared" si="215"/>
        <v>023</v>
      </c>
      <c r="B1887" s="4" t="s">
        <v>35</v>
      </c>
      <c r="C1887" s="4" t="str">
        <f>"毛秀婷"</f>
        <v>毛秀婷</v>
      </c>
      <c r="D1887" s="4" t="str">
        <f>"2021014411"</f>
        <v>2021014411</v>
      </c>
      <c r="E1887" s="4" t="str">
        <f t="shared" si="218"/>
        <v>44</v>
      </c>
      <c r="F1887" s="4" t="str">
        <f>"11"</f>
        <v>11</v>
      </c>
      <c r="G1887" s="4" t="s">
        <v>12</v>
      </c>
      <c r="H1887" s="5">
        <v>81</v>
      </c>
      <c r="I1887" s="4"/>
      <c r="J1887" s="4">
        <f>SUMPRODUCT(--((A1887=$A$3:$A$2785)*$H$3:$H$2785&gt;H1887))+1</f>
        <v>18</v>
      </c>
    </row>
    <row r="1888" s="1" customFormat="true" customHeight="true" spans="1:10">
      <c r="A1888" s="4" t="str">
        <f t="shared" si="215"/>
        <v>023</v>
      </c>
      <c r="B1888" s="4" t="s">
        <v>35</v>
      </c>
      <c r="C1888" s="4" t="str">
        <f>"刘琴"</f>
        <v>刘琴</v>
      </c>
      <c r="D1888" s="4" t="str">
        <f>"2021014209"</f>
        <v>2021014209</v>
      </c>
      <c r="E1888" s="4" t="str">
        <f t="shared" si="219"/>
        <v>42</v>
      </c>
      <c r="F1888" s="4" t="str">
        <f>"09"</f>
        <v>09</v>
      </c>
      <c r="G1888" s="4" t="s">
        <v>12</v>
      </c>
      <c r="H1888" s="5">
        <v>80.5</v>
      </c>
      <c r="I1888" s="4"/>
      <c r="J1888" s="4">
        <f>SUMPRODUCT(--((A1888=$A$3:$A$2785)*$H$3:$H$2785&gt;H1888))+1</f>
        <v>20</v>
      </c>
    </row>
    <row r="1889" s="1" customFormat="true" customHeight="true" spans="1:10">
      <c r="A1889" s="4" t="str">
        <f t="shared" si="215"/>
        <v>023</v>
      </c>
      <c r="B1889" s="4" t="s">
        <v>35</v>
      </c>
      <c r="C1889" s="4" t="str">
        <f>"张李群"</f>
        <v>张李群</v>
      </c>
      <c r="D1889" s="4" t="str">
        <f>"2021014412"</f>
        <v>2021014412</v>
      </c>
      <c r="E1889" s="4" t="str">
        <f t="shared" ref="E1889:E1894" si="220">"44"</f>
        <v>44</v>
      </c>
      <c r="F1889" s="4" t="str">
        <f>"12"</f>
        <v>12</v>
      </c>
      <c r="G1889" s="4" t="s">
        <v>12</v>
      </c>
      <c r="H1889" s="5">
        <v>80.5</v>
      </c>
      <c r="I1889" s="4"/>
      <c r="J1889" s="4">
        <f>SUMPRODUCT(--((A1889=$A$3:$A$2785)*$H$3:$H$2785&gt;H1889))+1</f>
        <v>20</v>
      </c>
    </row>
    <row r="1890" s="1" customFormat="true" customHeight="true" spans="1:10">
      <c r="A1890" s="4" t="str">
        <f t="shared" si="215"/>
        <v>023</v>
      </c>
      <c r="B1890" s="4" t="s">
        <v>35</v>
      </c>
      <c r="C1890" s="4" t="str">
        <f>"蒋东云"</f>
        <v>蒋东云</v>
      </c>
      <c r="D1890" s="4" t="str">
        <f>"2021014425"</f>
        <v>2021014425</v>
      </c>
      <c r="E1890" s="4" t="str">
        <f t="shared" si="220"/>
        <v>44</v>
      </c>
      <c r="F1890" s="4" t="str">
        <f>"25"</f>
        <v>25</v>
      </c>
      <c r="G1890" s="4" t="s">
        <v>12</v>
      </c>
      <c r="H1890" s="5">
        <v>80.5</v>
      </c>
      <c r="I1890" s="4"/>
      <c r="J1890" s="4">
        <f>SUMPRODUCT(--((A1890=$A$3:$A$2785)*$H$3:$H$2785&gt;H1890))+1</f>
        <v>20</v>
      </c>
    </row>
    <row r="1891" s="1" customFormat="true" customHeight="true" spans="1:10">
      <c r="A1891" s="4" t="str">
        <f t="shared" si="215"/>
        <v>023</v>
      </c>
      <c r="B1891" s="4" t="s">
        <v>35</v>
      </c>
      <c r="C1891" s="4" t="str">
        <f>"易倩文"</f>
        <v>易倩文</v>
      </c>
      <c r="D1891" s="4" t="str">
        <f>"2021014203"</f>
        <v>2021014203</v>
      </c>
      <c r="E1891" s="4" t="str">
        <f t="shared" si="219"/>
        <v>42</v>
      </c>
      <c r="F1891" s="4" t="str">
        <f>"03"</f>
        <v>03</v>
      </c>
      <c r="G1891" s="4" t="s">
        <v>12</v>
      </c>
      <c r="H1891" s="5">
        <v>80.25</v>
      </c>
      <c r="I1891" s="4"/>
      <c r="J1891" s="4">
        <f>SUMPRODUCT(--((A1891=$A$3:$A$2785)*$H$3:$H$2785&gt;H1891))+1</f>
        <v>23</v>
      </c>
    </row>
    <row r="1892" s="1" customFormat="true" customHeight="true" spans="1:10">
      <c r="A1892" s="4" t="str">
        <f t="shared" si="215"/>
        <v>023</v>
      </c>
      <c r="B1892" s="4" t="s">
        <v>35</v>
      </c>
      <c r="C1892" s="4" t="str">
        <f>"陈朝霞"</f>
        <v>陈朝霞</v>
      </c>
      <c r="D1892" s="4" t="str">
        <f>"2021014313"</f>
        <v>2021014313</v>
      </c>
      <c r="E1892" s="4" t="str">
        <f t="shared" ref="E1892:E1897" si="221">"43"</f>
        <v>43</v>
      </c>
      <c r="F1892" s="4" t="str">
        <f>"13"</f>
        <v>13</v>
      </c>
      <c r="G1892" s="4" t="s">
        <v>12</v>
      </c>
      <c r="H1892" s="5">
        <v>80</v>
      </c>
      <c r="I1892" s="4"/>
      <c r="J1892" s="4">
        <f>SUMPRODUCT(--((A1892=$A$3:$A$2785)*$H$3:$H$2785&gt;H1892))+1</f>
        <v>24</v>
      </c>
    </row>
    <row r="1893" s="1" customFormat="true" customHeight="true" spans="1:10">
      <c r="A1893" s="4" t="str">
        <f t="shared" si="215"/>
        <v>023</v>
      </c>
      <c r="B1893" s="4" t="s">
        <v>35</v>
      </c>
      <c r="C1893" s="4" t="str">
        <f>"谢文辉"</f>
        <v>谢文辉</v>
      </c>
      <c r="D1893" s="4" t="str">
        <f>"2021014416"</f>
        <v>2021014416</v>
      </c>
      <c r="E1893" s="4" t="str">
        <f t="shared" si="220"/>
        <v>44</v>
      </c>
      <c r="F1893" s="4" t="str">
        <f>"16"</f>
        <v>16</v>
      </c>
      <c r="G1893" s="4" t="s">
        <v>12</v>
      </c>
      <c r="H1893" s="5">
        <v>80</v>
      </c>
      <c r="I1893" s="4"/>
      <c r="J1893" s="4">
        <f>SUMPRODUCT(--((A1893=$A$3:$A$2785)*$H$3:$H$2785&gt;H1893))+1</f>
        <v>24</v>
      </c>
    </row>
    <row r="1894" s="1" customFormat="true" customHeight="true" spans="1:10">
      <c r="A1894" s="4" t="str">
        <f t="shared" si="215"/>
        <v>023</v>
      </c>
      <c r="B1894" s="4" t="s">
        <v>35</v>
      </c>
      <c r="C1894" s="4" t="str">
        <f>"田济兰"</f>
        <v>田济兰</v>
      </c>
      <c r="D1894" s="4" t="str">
        <f>"2021014420"</f>
        <v>2021014420</v>
      </c>
      <c r="E1894" s="4" t="str">
        <f t="shared" si="220"/>
        <v>44</v>
      </c>
      <c r="F1894" s="4" t="str">
        <f>"20"</f>
        <v>20</v>
      </c>
      <c r="G1894" s="4" t="s">
        <v>12</v>
      </c>
      <c r="H1894" s="5">
        <v>80</v>
      </c>
      <c r="I1894" s="4"/>
      <c r="J1894" s="4">
        <f>SUMPRODUCT(--((A1894=$A$3:$A$2785)*$H$3:$H$2785&gt;H1894))+1</f>
        <v>24</v>
      </c>
    </row>
    <row r="1895" s="1" customFormat="true" customHeight="true" spans="1:10">
      <c r="A1895" s="4" t="str">
        <f t="shared" si="215"/>
        <v>023</v>
      </c>
      <c r="B1895" s="4" t="s">
        <v>35</v>
      </c>
      <c r="C1895" s="4" t="str">
        <f>"孙扬涵"</f>
        <v>孙扬涵</v>
      </c>
      <c r="D1895" s="4" t="str">
        <f>"2021014230"</f>
        <v>2021014230</v>
      </c>
      <c r="E1895" s="4" t="str">
        <f t="shared" ref="E1895:E1900" si="222">"42"</f>
        <v>42</v>
      </c>
      <c r="F1895" s="4" t="str">
        <f>"30"</f>
        <v>30</v>
      </c>
      <c r="G1895" s="4" t="s">
        <v>12</v>
      </c>
      <c r="H1895" s="5">
        <v>79.5</v>
      </c>
      <c r="I1895" s="4"/>
      <c r="J1895" s="4">
        <f>SUMPRODUCT(--((A1895=$A$3:$A$2785)*$H$3:$H$2785&gt;H1895))+1</f>
        <v>27</v>
      </c>
    </row>
    <row r="1896" s="1" customFormat="true" customHeight="true" spans="1:10">
      <c r="A1896" s="4" t="str">
        <f t="shared" si="215"/>
        <v>023</v>
      </c>
      <c r="B1896" s="4" t="s">
        <v>35</v>
      </c>
      <c r="C1896" s="4" t="str">
        <f>"杨琳芝"</f>
        <v>杨琳芝</v>
      </c>
      <c r="D1896" s="4" t="str">
        <f>"2021014323"</f>
        <v>2021014323</v>
      </c>
      <c r="E1896" s="4" t="str">
        <f t="shared" si="221"/>
        <v>43</v>
      </c>
      <c r="F1896" s="4" t="str">
        <f>"23"</f>
        <v>23</v>
      </c>
      <c r="G1896" s="4" t="s">
        <v>12</v>
      </c>
      <c r="H1896" s="5">
        <v>79.25</v>
      </c>
      <c r="I1896" s="4"/>
      <c r="J1896" s="4">
        <f>SUMPRODUCT(--((A1896=$A$3:$A$2785)*$H$3:$H$2785&gt;H1896))+1</f>
        <v>28</v>
      </c>
    </row>
    <row r="1897" s="1" customFormat="true" customHeight="true" spans="1:10">
      <c r="A1897" s="4" t="str">
        <f t="shared" si="215"/>
        <v>023</v>
      </c>
      <c r="B1897" s="4" t="s">
        <v>35</v>
      </c>
      <c r="C1897" s="4" t="str">
        <f>"陈娟"</f>
        <v>陈娟</v>
      </c>
      <c r="D1897" s="4" t="str">
        <f>"2021014302"</f>
        <v>2021014302</v>
      </c>
      <c r="E1897" s="4" t="str">
        <f t="shared" si="221"/>
        <v>43</v>
      </c>
      <c r="F1897" s="4" t="str">
        <f>"02"</f>
        <v>02</v>
      </c>
      <c r="G1897" s="4" t="s">
        <v>12</v>
      </c>
      <c r="H1897" s="5">
        <v>78.25</v>
      </c>
      <c r="I1897" s="4"/>
      <c r="J1897" s="4">
        <f>SUMPRODUCT(--((A1897=$A$3:$A$2785)*$H$3:$H$2785&gt;H1897))+1</f>
        <v>29</v>
      </c>
    </row>
    <row r="1898" s="1" customFormat="true" customHeight="true" spans="1:10">
      <c r="A1898" s="4" t="str">
        <f t="shared" si="215"/>
        <v>023</v>
      </c>
      <c r="B1898" s="4" t="s">
        <v>35</v>
      </c>
      <c r="C1898" s="4" t="str">
        <f>"张颖"</f>
        <v>张颖</v>
      </c>
      <c r="D1898" s="4" t="str">
        <f>"2021014205"</f>
        <v>2021014205</v>
      </c>
      <c r="E1898" s="4" t="str">
        <f t="shared" si="222"/>
        <v>42</v>
      </c>
      <c r="F1898" s="4" t="str">
        <f>"05"</f>
        <v>05</v>
      </c>
      <c r="G1898" s="4" t="s">
        <v>12</v>
      </c>
      <c r="H1898" s="5">
        <v>78</v>
      </c>
      <c r="I1898" s="4"/>
      <c r="J1898" s="4">
        <f>SUMPRODUCT(--((A1898=$A$3:$A$2785)*$H$3:$H$2785&gt;H1898))+1</f>
        <v>30</v>
      </c>
    </row>
    <row r="1899" s="1" customFormat="true" customHeight="true" spans="1:10">
      <c r="A1899" s="4" t="str">
        <f t="shared" si="215"/>
        <v>023</v>
      </c>
      <c r="B1899" s="4" t="s">
        <v>35</v>
      </c>
      <c r="C1899" s="4" t="str">
        <f>"唐玉华"</f>
        <v>唐玉华</v>
      </c>
      <c r="D1899" s="4" t="str">
        <f>"2021014208"</f>
        <v>2021014208</v>
      </c>
      <c r="E1899" s="4" t="str">
        <f t="shared" si="222"/>
        <v>42</v>
      </c>
      <c r="F1899" s="4" t="str">
        <f>"08"</f>
        <v>08</v>
      </c>
      <c r="G1899" s="4" t="s">
        <v>12</v>
      </c>
      <c r="H1899" s="5">
        <v>77.25</v>
      </c>
      <c r="I1899" s="4"/>
      <c r="J1899" s="4">
        <f>SUMPRODUCT(--((A1899=$A$3:$A$2785)*$H$3:$H$2785&gt;H1899))+1</f>
        <v>31</v>
      </c>
    </row>
    <row r="1900" s="1" customFormat="true" customHeight="true" spans="1:10">
      <c r="A1900" s="4" t="str">
        <f t="shared" si="215"/>
        <v>023</v>
      </c>
      <c r="B1900" s="4" t="s">
        <v>35</v>
      </c>
      <c r="C1900" s="4" t="str">
        <f>"严萍"</f>
        <v>严萍</v>
      </c>
      <c r="D1900" s="4" t="str">
        <f>"2021014220"</f>
        <v>2021014220</v>
      </c>
      <c r="E1900" s="4" t="str">
        <f t="shared" si="222"/>
        <v>42</v>
      </c>
      <c r="F1900" s="4" t="str">
        <f>"20"</f>
        <v>20</v>
      </c>
      <c r="G1900" s="4" t="s">
        <v>12</v>
      </c>
      <c r="H1900" s="5">
        <v>77.25</v>
      </c>
      <c r="I1900" s="4"/>
      <c r="J1900" s="4">
        <f>SUMPRODUCT(--((A1900=$A$3:$A$2785)*$H$3:$H$2785&gt;H1900))+1</f>
        <v>31</v>
      </c>
    </row>
    <row r="1901" s="1" customFormat="true" customHeight="true" spans="1:10">
      <c r="A1901" s="4" t="str">
        <f t="shared" si="215"/>
        <v>023</v>
      </c>
      <c r="B1901" s="4" t="s">
        <v>35</v>
      </c>
      <c r="C1901" s="4" t="str">
        <f>"张玉航"</f>
        <v>张玉航</v>
      </c>
      <c r="D1901" s="4" t="str">
        <f>"2021014318"</f>
        <v>2021014318</v>
      </c>
      <c r="E1901" s="4" t="str">
        <f>"43"</f>
        <v>43</v>
      </c>
      <c r="F1901" s="4" t="str">
        <f>"18"</f>
        <v>18</v>
      </c>
      <c r="G1901" s="4" t="s">
        <v>12</v>
      </c>
      <c r="H1901" s="5">
        <v>77.25</v>
      </c>
      <c r="I1901" s="4"/>
      <c r="J1901" s="4">
        <f>SUMPRODUCT(--((A1901=$A$3:$A$2785)*$H$3:$H$2785&gt;H1901))+1</f>
        <v>31</v>
      </c>
    </row>
    <row r="1902" s="1" customFormat="true" customHeight="true" spans="1:10">
      <c r="A1902" s="4" t="str">
        <f t="shared" si="215"/>
        <v>023</v>
      </c>
      <c r="B1902" s="4" t="s">
        <v>35</v>
      </c>
      <c r="C1902" s="4" t="str">
        <f>"李幸"</f>
        <v>李幸</v>
      </c>
      <c r="D1902" s="4" t="str">
        <f>"2021014415"</f>
        <v>2021014415</v>
      </c>
      <c r="E1902" s="4" t="str">
        <f>"44"</f>
        <v>44</v>
      </c>
      <c r="F1902" s="4" t="str">
        <f>"15"</f>
        <v>15</v>
      </c>
      <c r="G1902" s="4" t="s">
        <v>12</v>
      </c>
      <c r="H1902" s="5">
        <v>77.25</v>
      </c>
      <c r="I1902" s="4"/>
      <c r="J1902" s="4">
        <f>SUMPRODUCT(--((A1902=$A$3:$A$2785)*$H$3:$H$2785&gt;H1902))+1</f>
        <v>31</v>
      </c>
    </row>
    <row r="1903" s="1" customFormat="true" customHeight="true" spans="1:10">
      <c r="A1903" s="4" t="str">
        <f t="shared" si="215"/>
        <v>023</v>
      </c>
      <c r="B1903" s="4" t="s">
        <v>35</v>
      </c>
      <c r="C1903" s="4" t="str">
        <f>"陈心雅"</f>
        <v>陈心雅</v>
      </c>
      <c r="D1903" s="4" t="str">
        <f>"2021014217"</f>
        <v>2021014217</v>
      </c>
      <c r="E1903" s="4" t="str">
        <f t="shared" ref="E1903:E1909" si="223">"42"</f>
        <v>42</v>
      </c>
      <c r="F1903" s="4" t="str">
        <f>"17"</f>
        <v>17</v>
      </c>
      <c r="G1903" s="4" t="s">
        <v>12</v>
      </c>
      <c r="H1903" s="5">
        <v>77</v>
      </c>
      <c r="I1903" s="4"/>
      <c r="J1903" s="4">
        <f>SUMPRODUCT(--((A1903=$A$3:$A$2785)*$H$3:$H$2785&gt;H1903))+1</f>
        <v>35</v>
      </c>
    </row>
    <row r="1904" s="1" customFormat="true" customHeight="true" spans="1:10">
      <c r="A1904" s="4" t="str">
        <f t="shared" si="215"/>
        <v>023</v>
      </c>
      <c r="B1904" s="4" t="s">
        <v>35</v>
      </c>
      <c r="C1904" s="4" t="str">
        <f>"刘锦云"</f>
        <v>刘锦云</v>
      </c>
      <c r="D1904" s="4" t="str">
        <f>"2021014310"</f>
        <v>2021014310</v>
      </c>
      <c r="E1904" s="4" t="str">
        <f>"43"</f>
        <v>43</v>
      </c>
      <c r="F1904" s="4" t="str">
        <f>"10"</f>
        <v>10</v>
      </c>
      <c r="G1904" s="4" t="s">
        <v>12</v>
      </c>
      <c r="H1904" s="5">
        <v>76.75</v>
      </c>
      <c r="I1904" s="4"/>
      <c r="J1904" s="4">
        <f>SUMPRODUCT(--((A1904=$A$3:$A$2785)*$H$3:$H$2785&gt;H1904))+1</f>
        <v>36</v>
      </c>
    </row>
    <row r="1905" s="1" customFormat="true" customHeight="true" spans="1:10">
      <c r="A1905" s="4" t="str">
        <f t="shared" si="215"/>
        <v>023</v>
      </c>
      <c r="B1905" s="4" t="s">
        <v>35</v>
      </c>
      <c r="C1905" s="4" t="str">
        <f>"梁燕辉"</f>
        <v>梁燕辉</v>
      </c>
      <c r="D1905" s="4" t="str">
        <f>"2021014423"</f>
        <v>2021014423</v>
      </c>
      <c r="E1905" s="4" t="str">
        <f>"44"</f>
        <v>44</v>
      </c>
      <c r="F1905" s="4" t="str">
        <f>"23"</f>
        <v>23</v>
      </c>
      <c r="G1905" s="4" t="s">
        <v>12</v>
      </c>
      <c r="H1905" s="5">
        <v>76.75</v>
      </c>
      <c r="I1905" s="4"/>
      <c r="J1905" s="4">
        <f>SUMPRODUCT(--((A1905=$A$3:$A$2785)*$H$3:$H$2785&gt;H1905))+1</f>
        <v>36</v>
      </c>
    </row>
    <row r="1906" s="1" customFormat="true" customHeight="true" spans="1:10">
      <c r="A1906" s="4" t="str">
        <f t="shared" si="215"/>
        <v>023</v>
      </c>
      <c r="B1906" s="4" t="s">
        <v>35</v>
      </c>
      <c r="C1906" s="4" t="str">
        <f>"梁露"</f>
        <v>梁露</v>
      </c>
      <c r="D1906" s="4" t="str">
        <f>"2021014211"</f>
        <v>2021014211</v>
      </c>
      <c r="E1906" s="4" t="str">
        <f t="shared" si="223"/>
        <v>42</v>
      </c>
      <c r="F1906" s="4" t="str">
        <f>"11"</f>
        <v>11</v>
      </c>
      <c r="G1906" s="4" t="s">
        <v>12</v>
      </c>
      <c r="H1906" s="5">
        <v>76.5</v>
      </c>
      <c r="I1906" s="4"/>
      <c r="J1906" s="4">
        <f>SUMPRODUCT(--((A1906=$A$3:$A$2785)*$H$3:$H$2785&gt;H1906))+1</f>
        <v>38</v>
      </c>
    </row>
    <row r="1907" s="1" customFormat="true" customHeight="true" spans="1:10">
      <c r="A1907" s="4" t="str">
        <f t="shared" si="215"/>
        <v>023</v>
      </c>
      <c r="B1907" s="4" t="s">
        <v>35</v>
      </c>
      <c r="C1907" s="4" t="str">
        <f>"杨朝"</f>
        <v>杨朝</v>
      </c>
      <c r="D1907" s="4" t="str">
        <f>"2021014317"</f>
        <v>2021014317</v>
      </c>
      <c r="E1907" s="4" t="str">
        <f>"43"</f>
        <v>43</v>
      </c>
      <c r="F1907" s="4" t="str">
        <f>"17"</f>
        <v>17</v>
      </c>
      <c r="G1907" s="4" t="s">
        <v>12</v>
      </c>
      <c r="H1907" s="5">
        <v>76.5</v>
      </c>
      <c r="I1907" s="4"/>
      <c r="J1907" s="4">
        <f>SUMPRODUCT(--((A1907=$A$3:$A$2785)*$H$3:$H$2785&gt;H1907))+1</f>
        <v>38</v>
      </c>
    </row>
    <row r="1908" s="1" customFormat="true" customHeight="true" spans="1:10">
      <c r="A1908" s="4" t="str">
        <f t="shared" si="215"/>
        <v>023</v>
      </c>
      <c r="B1908" s="4" t="s">
        <v>35</v>
      </c>
      <c r="C1908" s="4" t="str">
        <f>"向桃桃"</f>
        <v>向桃桃</v>
      </c>
      <c r="D1908" s="4" t="str">
        <f>"2021014213"</f>
        <v>2021014213</v>
      </c>
      <c r="E1908" s="4" t="str">
        <f t="shared" si="223"/>
        <v>42</v>
      </c>
      <c r="F1908" s="4" t="str">
        <f>"13"</f>
        <v>13</v>
      </c>
      <c r="G1908" s="4" t="s">
        <v>12</v>
      </c>
      <c r="H1908" s="5">
        <v>76.25</v>
      </c>
      <c r="I1908" s="4"/>
      <c r="J1908" s="4">
        <f>SUMPRODUCT(--((A1908=$A$3:$A$2785)*$H$3:$H$2785&gt;H1908))+1</f>
        <v>40</v>
      </c>
    </row>
    <row r="1909" s="1" customFormat="true" customHeight="true" spans="1:10">
      <c r="A1909" s="4" t="str">
        <f t="shared" si="215"/>
        <v>023</v>
      </c>
      <c r="B1909" s="4" t="s">
        <v>35</v>
      </c>
      <c r="C1909" s="4" t="str">
        <f>"龙婉莹"</f>
        <v>龙婉莹</v>
      </c>
      <c r="D1909" s="4" t="str">
        <f>"2021014210"</f>
        <v>2021014210</v>
      </c>
      <c r="E1909" s="4" t="str">
        <f t="shared" si="223"/>
        <v>42</v>
      </c>
      <c r="F1909" s="4" t="str">
        <f>"10"</f>
        <v>10</v>
      </c>
      <c r="G1909" s="4" t="s">
        <v>12</v>
      </c>
      <c r="H1909" s="5">
        <v>75.75</v>
      </c>
      <c r="I1909" s="4"/>
      <c r="J1909" s="4">
        <f>SUMPRODUCT(--((A1909=$A$3:$A$2785)*$H$3:$H$2785&gt;H1909))+1</f>
        <v>41</v>
      </c>
    </row>
    <row r="1910" s="1" customFormat="true" customHeight="true" spans="1:10">
      <c r="A1910" s="4" t="str">
        <f t="shared" si="215"/>
        <v>023</v>
      </c>
      <c r="B1910" s="4" t="s">
        <v>35</v>
      </c>
      <c r="C1910" s="4" t="str">
        <f>"黄洋洋"</f>
        <v>黄洋洋</v>
      </c>
      <c r="D1910" s="4" t="str">
        <f>"2021014414"</f>
        <v>2021014414</v>
      </c>
      <c r="E1910" s="4" t="str">
        <f t="shared" ref="E1910:E1915" si="224">"44"</f>
        <v>44</v>
      </c>
      <c r="F1910" s="4" t="str">
        <f>"14"</f>
        <v>14</v>
      </c>
      <c r="G1910" s="4" t="s">
        <v>12</v>
      </c>
      <c r="H1910" s="5">
        <v>75.75</v>
      </c>
      <c r="I1910" s="4"/>
      <c r="J1910" s="4">
        <f>SUMPRODUCT(--((A1910=$A$3:$A$2785)*$H$3:$H$2785&gt;H1910))+1</f>
        <v>41</v>
      </c>
    </row>
    <row r="1911" s="1" customFormat="true" customHeight="true" spans="1:10">
      <c r="A1911" s="4" t="str">
        <f t="shared" si="215"/>
        <v>023</v>
      </c>
      <c r="B1911" s="4" t="s">
        <v>35</v>
      </c>
      <c r="C1911" s="4" t="str">
        <f>"屈棠"</f>
        <v>屈棠</v>
      </c>
      <c r="D1911" s="4" t="str">
        <f>"2021014409"</f>
        <v>2021014409</v>
      </c>
      <c r="E1911" s="4" t="str">
        <f t="shared" si="224"/>
        <v>44</v>
      </c>
      <c r="F1911" s="4" t="str">
        <f>"09"</f>
        <v>09</v>
      </c>
      <c r="G1911" s="4" t="s">
        <v>12</v>
      </c>
      <c r="H1911" s="5">
        <v>75.25</v>
      </c>
      <c r="I1911" s="4"/>
      <c r="J1911" s="4">
        <f>SUMPRODUCT(--((A1911=$A$3:$A$2785)*$H$3:$H$2785&gt;H1911))+1</f>
        <v>43</v>
      </c>
    </row>
    <row r="1912" s="1" customFormat="true" customHeight="true" spans="1:10">
      <c r="A1912" s="4" t="str">
        <f t="shared" si="215"/>
        <v>023</v>
      </c>
      <c r="B1912" s="4" t="s">
        <v>35</v>
      </c>
      <c r="C1912" s="4" t="str">
        <f>"吴风琴"</f>
        <v>吴风琴</v>
      </c>
      <c r="D1912" s="4" t="str">
        <f>"2021014219"</f>
        <v>2021014219</v>
      </c>
      <c r="E1912" s="4" t="str">
        <f t="shared" ref="E1912:E1917" si="225">"42"</f>
        <v>42</v>
      </c>
      <c r="F1912" s="4" t="str">
        <f>"19"</f>
        <v>19</v>
      </c>
      <c r="G1912" s="4" t="s">
        <v>12</v>
      </c>
      <c r="H1912" s="5">
        <v>74.5</v>
      </c>
      <c r="I1912" s="4"/>
      <c r="J1912" s="4">
        <f>SUMPRODUCT(--((A1912=$A$3:$A$2785)*$H$3:$H$2785&gt;H1912))+1</f>
        <v>44</v>
      </c>
    </row>
    <row r="1913" s="1" customFormat="true" customHeight="true" spans="1:10">
      <c r="A1913" s="4" t="str">
        <f t="shared" si="215"/>
        <v>023</v>
      </c>
      <c r="B1913" s="4" t="s">
        <v>35</v>
      </c>
      <c r="C1913" s="4" t="str">
        <f>"李若愚"</f>
        <v>李若愚</v>
      </c>
      <c r="D1913" s="4" t="str">
        <f>"2021014321"</f>
        <v>2021014321</v>
      </c>
      <c r="E1913" s="4" t="str">
        <f>"43"</f>
        <v>43</v>
      </c>
      <c r="F1913" s="4" t="str">
        <f>"21"</f>
        <v>21</v>
      </c>
      <c r="G1913" s="4" t="s">
        <v>12</v>
      </c>
      <c r="H1913" s="5">
        <v>73.75</v>
      </c>
      <c r="I1913" s="4"/>
      <c r="J1913" s="4">
        <f>SUMPRODUCT(--((A1913=$A$3:$A$2785)*$H$3:$H$2785&gt;H1913))+1</f>
        <v>45</v>
      </c>
    </row>
    <row r="1914" s="1" customFormat="true" customHeight="true" spans="1:10">
      <c r="A1914" s="4" t="str">
        <f t="shared" si="215"/>
        <v>023</v>
      </c>
      <c r="B1914" s="4" t="s">
        <v>35</v>
      </c>
      <c r="C1914" s="4" t="str">
        <f>"唐韵涵"</f>
        <v>唐韵涵</v>
      </c>
      <c r="D1914" s="4" t="str">
        <f>"2021014406"</f>
        <v>2021014406</v>
      </c>
      <c r="E1914" s="4" t="str">
        <f t="shared" si="224"/>
        <v>44</v>
      </c>
      <c r="F1914" s="4" t="str">
        <f>"06"</f>
        <v>06</v>
      </c>
      <c r="G1914" s="4" t="s">
        <v>12</v>
      </c>
      <c r="H1914" s="5">
        <v>73.5</v>
      </c>
      <c r="I1914" s="4"/>
      <c r="J1914" s="4">
        <f>SUMPRODUCT(--((A1914=$A$3:$A$2785)*$H$3:$H$2785&gt;H1914))+1</f>
        <v>46</v>
      </c>
    </row>
    <row r="1915" s="1" customFormat="true" customHeight="true" spans="1:10">
      <c r="A1915" s="4" t="str">
        <f t="shared" si="215"/>
        <v>023</v>
      </c>
      <c r="B1915" s="4" t="s">
        <v>35</v>
      </c>
      <c r="C1915" s="4" t="str">
        <f>"曾悦"</f>
        <v>曾悦</v>
      </c>
      <c r="D1915" s="4" t="str">
        <f>"2021014410"</f>
        <v>2021014410</v>
      </c>
      <c r="E1915" s="4" t="str">
        <f t="shared" si="224"/>
        <v>44</v>
      </c>
      <c r="F1915" s="4" t="str">
        <f>"10"</f>
        <v>10</v>
      </c>
      <c r="G1915" s="4" t="s">
        <v>12</v>
      </c>
      <c r="H1915" s="5">
        <v>73</v>
      </c>
      <c r="I1915" s="4"/>
      <c r="J1915" s="4">
        <f>SUMPRODUCT(--((A1915=$A$3:$A$2785)*$H$3:$H$2785&gt;H1915))+1</f>
        <v>47</v>
      </c>
    </row>
    <row r="1916" s="1" customFormat="true" customHeight="true" spans="1:10">
      <c r="A1916" s="4" t="str">
        <f t="shared" si="215"/>
        <v>023</v>
      </c>
      <c r="B1916" s="4" t="s">
        <v>35</v>
      </c>
      <c r="C1916" s="4" t="str">
        <f>"杨乐"</f>
        <v>杨乐</v>
      </c>
      <c r="D1916" s="4" t="str">
        <f>"2021014218"</f>
        <v>2021014218</v>
      </c>
      <c r="E1916" s="4" t="str">
        <f t="shared" si="225"/>
        <v>42</v>
      </c>
      <c r="F1916" s="4" t="str">
        <f>"18"</f>
        <v>18</v>
      </c>
      <c r="G1916" s="4" t="s">
        <v>12</v>
      </c>
      <c r="H1916" s="5">
        <v>72.75</v>
      </c>
      <c r="I1916" s="4"/>
      <c r="J1916" s="4">
        <f>SUMPRODUCT(--((A1916=$A$3:$A$2785)*$H$3:$H$2785&gt;H1916))+1</f>
        <v>48</v>
      </c>
    </row>
    <row r="1917" s="1" customFormat="true" customHeight="true" spans="1:10">
      <c r="A1917" s="4" t="str">
        <f t="shared" si="215"/>
        <v>023</v>
      </c>
      <c r="B1917" s="4" t="s">
        <v>35</v>
      </c>
      <c r="C1917" s="4" t="str">
        <f>"刘晓倩"</f>
        <v>刘晓倩</v>
      </c>
      <c r="D1917" s="4" t="str">
        <f>"2021014214"</f>
        <v>2021014214</v>
      </c>
      <c r="E1917" s="4" t="str">
        <f t="shared" si="225"/>
        <v>42</v>
      </c>
      <c r="F1917" s="4" t="str">
        <f>"14"</f>
        <v>14</v>
      </c>
      <c r="G1917" s="4" t="s">
        <v>12</v>
      </c>
      <c r="H1917" s="5">
        <v>72</v>
      </c>
      <c r="I1917" s="4"/>
      <c r="J1917" s="4">
        <f>SUMPRODUCT(--((A1917=$A$3:$A$2785)*$H$3:$H$2785&gt;H1917))+1</f>
        <v>49</v>
      </c>
    </row>
    <row r="1918" s="1" customFormat="true" customHeight="true" spans="1:10">
      <c r="A1918" s="4" t="str">
        <f t="shared" si="215"/>
        <v>023</v>
      </c>
      <c r="B1918" s="4" t="s">
        <v>35</v>
      </c>
      <c r="C1918" s="4" t="str">
        <f>"李虹燕"</f>
        <v>李虹燕</v>
      </c>
      <c r="D1918" s="4" t="str">
        <f>"2021014322"</f>
        <v>2021014322</v>
      </c>
      <c r="E1918" s="4" t="str">
        <f t="shared" ref="E1918:E1920" si="226">"43"</f>
        <v>43</v>
      </c>
      <c r="F1918" s="4" t="str">
        <f>"22"</f>
        <v>22</v>
      </c>
      <c r="G1918" s="4" t="s">
        <v>12</v>
      </c>
      <c r="H1918" s="5">
        <v>71</v>
      </c>
      <c r="I1918" s="4"/>
      <c r="J1918" s="4">
        <f>SUMPRODUCT(--((A1918=$A$3:$A$2785)*$H$3:$H$2785&gt;H1918))+1</f>
        <v>50</v>
      </c>
    </row>
    <row r="1919" s="1" customFormat="true" customHeight="true" spans="1:10">
      <c r="A1919" s="4" t="str">
        <f t="shared" si="215"/>
        <v>023</v>
      </c>
      <c r="B1919" s="4" t="s">
        <v>35</v>
      </c>
      <c r="C1919" s="4" t="str">
        <f>"龙杨佳佳"</f>
        <v>龙杨佳佳</v>
      </c>
      <c r="D1919" s="4" t="str">
        <f>"2021014324"</f>
        <v>2021014324</v>
      </c>
      <c r="E1919" s="4" t="str">
        <f t="shared" si="226"/>
        <v>43</v>
      </c>
      <c r="F1919" s="4" t="str">
        <f>"24"</f>
        <v>24</v>
      </c>
      <c r="G1919" s="4" t="s">
        <v>12</v>
      </c>
      <c r="H1919" s="5">
        <v>67.75</v>
      </c>
      <c r="I1919" s="4"/>
      <c r="J1919" s="4">
        <f>SUMPRODUCT(--((A1919=$A$3:$A$2785)*$H$3:$H$2785&gt;H1919))+1</f>
        <v>51</v>
      </c>
    </row>
    <row r="1920" s="1" customFormat="true" customHeight="true" spans="1:10">
      <c r="A1920" s="4" t="str">
        <f t="shared" si="215"/>
        <v>023</v>
      </c>
      <c r="B1920" s="4" t="s">
        <v>35</v>
      </c>
      <c r="C1920" s="4" t="str">
        <f>"彭晓元"</f>
        <v>彭晓元</v>
      </c>
      <c r="D1920" s="4" t="str">
        <f>"2021014303"</f>
        <v>2021014303</v>
      </c>
      <c r="E1920" s="4" t="str">
        <f t="shared" si="226"/>
        <v>43</v>
      </c>
      <c r="F1920" s="4" t="str">
        <f>"03"</f>
        <v>03</v>
      </c>
      <c r="G1920" s="4" t="s">
        <v>12</v>
      </c>
      <c r="H1920" s="5">
        <v>66.75</v>
      </c>
      <c r="I1920" s="4"/>
      <c r="J1920" s="4">
        <f>SUMPRODUCT(--((A1920=$A$3:$A$2785)*$H$3:$H$2785&gt;H1920))+1</f>
        <v>52</v>
      </c>
    </row>
    <row r="1921" s="1" customFormat="true" customHeight="true" spans="1:10">
      <c r="A1921" s="4" t="str">
        <f t="shared" si="215"/>
        <v>023</v>
      </c>
      <c r="B1921" s="4" t="s">
        <v>35</v>
      </c>
      <c r="C1921" s="4" t="str">
        <f>"刘鑫"</f>
        <v>刘鑫</v>
      </c>
      <c r="D1921" s="4" t="str">
        <f>"2021014130"</f>
        <v>2021014130</v>
      </c>
      <c r="E1921" s="4" t="str">
        <f>"41"</f>
        <v>41</v>
      </c>
      <c r="F1921" s="4" t="str">
        <f>"30"</f>
        <v>30</v>
      </c>
      <c r="G1921" s="4" t="s">
        <v>12</v>
      </c>
      <c r="H1921" s="5">
        <v>0</v>
      </c>
      <c r="I1921" s="6" t="s">
        <v>13</v>
      </c>
      <c r="J1921" s="4">
        <f>SUMPRODUCT(--((A1921=$A$3:$A$2785)*$H$3:$H$2785&gt;H1921))+1</f>
        <v>53</v>
      </c>
    </row>
    <row r="1922" s="1" customFormat="true" customHeight="true" spans="1:10">
      <c r="A1922" s="4" t="str">
        <f t="shared" si="215"/>
        <v>023</v>
      </c>
      <c r="B1922" s="4" t="s">
        <v>35</v>
      </c>
      <c r="C1922" s="4" t="str">
        <f>"杨思帆"</f>
        <v>杨思帆</v>
      </c>
      <c r="D1922" s="4" t="str">
        <f>"2021014201"</f>
        <v>2021014201</v>
      </c>
      <c r="E1922" s="4" t="str">
        <f t="shared" ref="E1922:E1933" si="227">"42"</f>
        <v>42</v>
      </c>
      <c r="F1922" s="4" t="str">
        <f>"01"</f>
        <v>01</v>
      </c>
      <c r="G1922" s="4" t="s">
        <v>12</v>
      </c>
      <c r="H1922" s="5">
        <v>0</v>
      </c>
      <c r="I1922" s="6" t="s">
        <v>13</v>
      </c>
      <c r="J1922" s="4">
        <f>SUMPRODUCT(--((A1922=$A$3:$A$2785)*$H$3:$H$2785&gt;H1922))+1</f>
        <v>53</v>
      </c>
    </row>
    <row r="1923" s="1" customFormat="true" customHeight="true" spans="1:10">
      <c r="A1923" s="4" t="str">
        <f t="shared" si="215"/>
        <v>023</v>
      </c>
      <c r="B1923" s="4" t="s">
        <v>35</v>
      </c>
      <c r="C1923" s="4" t="str">
        <f>"彭麒"</f>
        <v>彭麒</v>
      </c>
      <c r="D1923" s="4" t="str">
        <f>"2021014204"</f>
        <v>2021014204</v>
      </c>
      <c r="E1923" s="4" t="str">
        <f t="shared" si="227"/>
        <v>42</v>
      </c>
      <c r="F1923" s="4" t="str">
        <f>"04"</f>
        <v>04</v>
      </c>
      <c r="G1923" s="4" t="s">
        <v>12</v>
      </c>
      <c r="H1923" s="5">
        <v>0</v>
      </c>
      <c r="I1923" s="6" t="s">
        <v>13</v>
      </c>
      <c r="J1923" s="4">
        <f>SUMPRODUCT(--((A1923=$A$3:$A$2785)*$H$3:$H$2785&gt;H1923))+1</f>
        <v>53</v>
      </c>
    </row>
    <row r="1924" s="1" customFormat="true" customHeight="true" spans="1:10">
      <c r="A1924" s="4" t="str">
        <f t="shared" si="215"/>
        <v>023</v>
      </c>
      <c r="B1924" s="4" t="s">
        <v>35</v>
      </c>
      <c r="C1924" s="4" t="str">
        <f>"陈卿钰"</f>
        <v>陈卿钰</v>
      </c>
      <c r="D1924" s="4" t="str">
        <f>"2021014206"</f>
        <v>2021014206</v>
      </c>
      <c r="E1924" s="4" t="str">
        <f t="shared" si="227"/>
        <v>42</v>
      </c>
      <c r="F1924" s="4" t="str">
        <f>"06"</f>
        <v>06</v>
      </c>
      <c r="G1924" s="4" t="s">
        <v>12</v>
      </c>
      <c r="H1924" s="5">
        <v>0</v>
      </c>
      <c r="I1924" s="6" t="s">
        <v>13</v>
      </c>
      <c r="J1924" s="4">
        <f>SUMPRODUCT(--((A1924=$A$3:$A$2785)*$H$3:$H$2785&gt;H1924))+1</f>
        <v>53</v>
      </c>
    </row>
    <row r="1925" s="1" customFormat="true" customHeight="true" spans="1:10">
      <c r="A1925" s="4" t="str">
        <f t="shared" si="215"/>
        <v>023</v>
      </c>
      <c r="B1925" s="4" t="s">
        <v>35</v>
      </c>
      <c r="C1925" s="4" t="str">
        <f>"段晓霞"</f>
        <v>段晓霞</v>
      </c>
      <c r="D1925" s="4" t="str">
        <f>"2021014207"</f>
        <v>2021014207</v>
      </c>
      <c r="E1925" s="4" t="str">
        <f t="shared" si="227"/>
        <v>42</v>
      </c>
      <c r="F1925" s="4" t="str">
        <f>"07"</f>
        <v>07</v>
      </c>
      <c r="G1925" s="4" t="s">
        <v>12</v>
      </c>
      <c r="H1925" s="5">
        <v>0</v>
      </c>
      <c r="I1925" s="6" t="s">
        <v>13</v>
      </c>
      <c r="J1925" s="4">
        <f>SUMPRODUCT(--((A1925=$A$3:$A$2785)*$H$3:$H$2785&gt;H1925))+1</f>
        <v>53</v>
      </c>
    </row>
    <row r="1926" s="1" customFormat="true" customHeight="true" spans="1:10">
      <c r="A1926" s="4" t="str">
        <f t="shared" si="215"/>
        <v>023</v>
      </c>
      <c r="B1926" s="4" t="s">
        <v>35</v>
      </c>
      <c r="C1926" s="4" t="str">
        <f>"李彧娴"</f>
        <v>李彧娴</v>
      </c>
      <c r="D1926" s="4" t="str">
        <f>"2021014212"</f>
        <v>2021014212</v>
      </c>
      <c r="E1926" s="4" t="str">
        <f t="shared" si="227"/>
        <v>42</v>
      </c>
      <c r="F1926" s="4" t="str">
        <f>"12"</f>
        <v>12</v>
      </c>
      <c r="G1926" s="4" t="s">
        <v>12</v>
      </c>
      <c r="H1926" s="5">
        <v>0</v>
      </c>
      <c r="I1926" s="6" t="s">
        <v>13</v>
      </c>
      <c r="J1926" s="4">
        <f>SUMPRODUCT(--((A1926=$A$3:$A$2785)*$H$3:$H$2785&gt;H1926))+1</f>
        <v>53</v>
      </c>
    </row>
    <row r="1927" s="1" customFormat="true" customHeight="true" spans="1:10">
      <c r="A1927" s="4" t="str">
        <f t="shared" si="215"/>
        <v>023</v>
      </c>
      <c r="B1927" s="4" t="s">
        <v>35</v>
      </c>
      <c r="C1927" s="4" t="str">
        <f>"严欣"</f>
        <v>严欣</v>
      </c>
      <c r="D1927" s="4" t="str">
        <f>"2021014215"</f>
        <v>2021014215</v>
      </c>
      <c r="E1927" s="4" t="str">
        <f t="shared" si="227"/>
        <v>42</v>
      </c>
      <c r="F1927" s="4" t="str">
        <f>"15"</f>
        <v>15</v>
      </c>
      <c r="G1927" s="4" t="s">
        <v>12</v>
      </c>
      <c r="H1927" s="5">
        <v>0</v>
      </c>
      <c r="I1927" s="6" t="s">
        <v>13</v>
      </c>
      <c r="J1927" s="4">
        <f>SUMPRODUCT(--((A1927=$A$3:$A$2785)*$H$3:$H$2785&gt;H1927))+1</f>
        <v>53</v>
      </c>
    </row>
    <row r="1928" s="1" customFormat="true" customHeight="true" spans="1:10">
      <c r="A1928" s="4" t="str">
        <f t="shared" si="215"/>
        <v>023</v>
      </c>
      <c r="B1928" s="4" t="s">
        <v>35</v>
      </c>
      <c r="C1928" s="4" t="str">
        <f>"唐君"</f>
        <v>唐君</v>
      </c>
      <c r="D1928" s="4" t="str">
        <f>"2021014216"</f>
        <v>2021014216</v>
      </c>
      <c r="E1928" s="4" t="str">
        <f t="shared" si="227"/>
        <v>42</v>
      </c>
      <c r="F1928" s="4" t="str">
        <f>"16"</f>
        <v>16</v>
      </c>
      <c r="G1928" s="4" t="s">
        <v>12</v>
      </c>
      <c r="H1928" s="5">
        <v>0</v>
      </c>
      <c r="I1928" s="6" t="s">
        <v>13</v>
      </c>
      <c r="J1928" s="4">
        <f>SUMPRODUCT(--((A1928=$A$3:$A$2785)*$H$3:$H$2785&gt;H1928))+1</f>
        <v>53</v>
      </c>
    </row>
    <row r="1929" s="1" customFormat="true" customHeight="true" spans="1:10">
      <c r="A1929" s="4" t="str">
        <f t="shared" si="215"/>
        <v>023</v>
      </c>
      <c r="B1929" s="4" t="s">
        <v>35</v>
      </c>
      <c r="C1929" s="4" t="str">
        <f>"米子纯"</f>
        <v>米子纯</v>
      </c>
      <c r="D1929" s="4" t="str">
        <f>"2021014221"</f>
        <v>2021014221</v>
      </c>
      <c r="E1929" s="4" t="str">
        <f t="shared" si="227"/>
        <v>42</v>
      </c>
      <c r="F1929" s="4" t="str">
        <f>"21"</f>
        <v>21</v>
      </c>
      <c r="G1929" s="4" t="s">
        <v>12</v>
      </c>
      <c r="H1929" s="5">
        <v>0</v>
      </c>
      <c r="I1929" s="6" t="s">
        <v>13</v>
      </c>
      <c r="J1929" s="4">
        <f>SUMPRODUCT(--((A1929=$A$3:$A$2785)*$H$3:$H$2785&gt;H1929))+1</f>
        <v>53</v>
      </c>
    </row>
    <row r="1930" s="1" customFormat="true" customHeight="true" spans="1:10">
      <c r="A1930" s="4" t="str">
        <f t="shared" si="215"/>
        <v>023</v>
      </c>
      <c r="B1930" s="4" t="s">
        <v>35</v>
      </c>
      <c r="C1930" s="4" t="str">
        <f>"严荟澌"</f>
        <v>严荟澌</v>
      </c>
      <c r="D1930" s="4" t="str">
        <f>"2021014224"</f>
        <v>2021014224</v>
      </c>
      <c r="E1930" s="4" t="str">
        <f t="shared" si="227"/>
        <v>42</v>
      </c>
      <c r="F1930" s="4" t="str">
        <f>"24"</f>
        <v>24</v>
      </c>
      <c r="G1930" s="4" t="s">
        <v>12</v>
      </c>
      <c r="H1930" s="5">
        <v>0</v>
      </c>
      <c r="I1930" s="6" t="s">
        <v>13</v>
      </c>
      <c r="J1930" s="4">
        <f>SUMPRODUCT(--((A1930=$A$3:$A$2785)*$H$3:$H$2785&gt;H1930))+1</f>
        <v>53</v>
      </c>
    </row>
    <row r="1931" s="1" customFormat="true" customHeight="true" spans="1:10">
      <c r="A1931" s="4" t="str">
        <f t="shared" si="215"/>
        <v>023</v>
      </c>
      <c r="B1931" s="4" t="s">
        <v>35</v>
      </c>
      <c r="C1931" s="4" t="str">
        <f>"唐洁"</f>
        <v>唐洁</v>
      </c>
      <c r="D1931" s="4" t="str">
        <f>"2021014225"</f>
        <v>2021014225</v>
      </c>
      <c r="E1931" s="4" t="str">
        <f t="shared" si="227"/>
        <v>42</v>
      </c>
      <c r="F1931" s="4" t="str">
        <f>"25"</f>
        <v>25</v>
      </c>
      <c r="G1931" s="4" t="s">
        <v>12</v>
      </c>
      <c r="H1931" s="5">
        <v>0</v>
      </c>
      <c r="I1931" s="6" t="s">
        <v>13</v>
      </c>
      <c r="J1931" s="4">
        <f>SUMPRODUCT(--((A1931=$A$3:$A$2785)*$H$3:$H$2785&gt;H1931))+1</f>
        <v>53</v>
      </c>
    </row>
    <row r="1932" s="1" customFormat="true" customHeight="true" spans="1:10">
      <c r="A1932" s="4" t="str">
        <f t="shared" si="215"/>
        <v>023</v>
      </c>
      <c r="B1932" s="4" t="s">
        <v>35</v>
      </c>
      <c r="C1932" s="4" t="str">
        <f>"周梦雨"</f>
        <v>周梦雨</v>
      </c>
      <c r="D1932" s="4" t="str">
        <f>"2021014227"</f>
        <v>2021014227</v>
      </c>
      <c r="E1932" s="4" t="str">
        <f t="shared" si="227"/>
        <v>42</v>
      </c>
      <c r="F1932" s="4" t="str">
        <f>"27"</f>
        <v>27</v>
      </c>
      <c r="G1932" s="4" t="s">
        <v>12</v>
      </c>
      <c r="H1932" s="5">
        <v>0</v>
      </c>
      <c r="I1932" s="6" t="s">
        <v>13</v>
      </c>
      <c r="J1932" s="4">
        <f>SUMPRODUCT(--((A1932=$A$3:$A$2785)*$H$3:$H$2785&gt;H1932))+1</f>
        <v>53</v>
      </c>
    </row>
    <row r="1933" s="1" customFormat="true" customHeight="true" spans="1:10">
      <c r="A1933" s="4" t="str">
        <f t="shared" ref="A1933:A1961" si="228">"023"</f>
        <v>023</v>
      </c>
      <c r="B1933" s="4" t="s">
        <v>35</v>
      </c>
      <c r="C1933" s="4" t="str">
        <f>"蒲珈齐"</f>
        <v>蒲珈齐</v>
      </c>
      <c r="D1933" s="4" t="str">
        <f>"2021014229"</f>
        <v>2021014229</v>
      </c>
      <c r="E1933" s="4" t="str">
        <f t="shared" si="227"/>
        <v>42</v>
      </c>
      <c r="F1933" s="4" t="str">
        <f>"29"</f>
        <v>29</v>
      </c>
      <c r="G1933" s="4" t="s">
        <v>12</v>
      </c>
      <c r="H1933" s="5">
        <v>0</v>
      </c>
      <c r="I1933" s="6" t="s">
        <v>13</v>
      </c>
      <c r="J1933" s="4">
        <f>SUMPRODUCT(--((A1933=$A$3:$A$2785)*$H$3:$H$2785&gt;H1933))+1</f>
        <v>53</v>
      </c>
    </row>
    <row r="1934" s="1" customFormat="true" customHeight="true" spans="1:10">
      <c r="A1934" s="4" t="str">
        <f t="shared" si="228"/>
        <v>023</v>
      </c>
      <c r="B1934" s="4" t="s">
        <v>35</v>
      </c>
      <c r="C1934" s="4" t="str">
        <f>"张明珠"</f>
        <v>张明珠</v>
      </c>
      <c r="D1934" s="4" t="str">
        <f>"2021014301"</f>
        <v>2021014301</v>
      </c>
      <c r="E1934" s="4" t="str">
        <f t="shared" ref="E1934:E1945" si="229">"43"</f>
        <v>43</v>
      </c>
      <c r="F1934" s="4" t="str">
        <f>"01"</f>
        <v>01</v>
      </c>
      <c r="G1934" s="4" t="s">
        <v>12</v>
      </c>
      <c r="H1934" s="5">
        <v>0</v>
      </c>
      <c r="I1934" s="6" t="s">
        <v>13</v>
      </c>
      <c r="J1934" s="4">
        <f>SUMPRODUCT(--((A1934=$A$3:$A$2785)*$H$3:$H$2785&gt;H1934))+1</f>
        <v>53</v>
      </c>
    </row>
    <row r="1935" s="1" customFormat="true" customHeight="true" spans="1:10">
      <c r="A1935" s="4" t="str">
        <f t="shared" si="228"/>
        <v>023</v>
      </c>
      <c r="B1935" s="4" t="s">
        <v>35</v>
      </c>
      <c r="C1935" s="4" t="str">
        <f>"杨夏荻"</f>
        <v>杨夏荻</v>
      </c>
      <c r="D1935" s="4" t="str">
        <f>"2021014304"</f>
        <v>2021014304</v>
      </c>
      <c r="E1935" s="4" t="str">
        <f t="shared" si="229"/>
        <v>43</v>
      </c>
      <c r="F1935" s="4" t="str">
        <f>"04"</f>
        <v>04</v>
      </c>
      <c r="G1935" s="4" t="s">
        <v>12</v>
      </c>
      <c r="H1935" s="5">
        <v>0</v>
      </c>
      <c r="I1935" s="6" t="s">
        <v>13</v>
      </c>
      <c r="J1935" s="4">
        <f>SUMPRODUCT(--((A1935=$A$3:$A$2785)*$H$3:$H$2785&gt;H1935))+1</f>
        <v>53</v>
      </c>
    </row>
    <row r="1936" s="1" customFormat="true" customHeight="true" spans="1:10">
      <c r="A1936" s="4" t="str">
        <f t="shared" si="228"/>
        <v>023</v>
      </c>
      <c r="B1936" s="4" t="s">
        <v>35</v>
      </c>
      <c r="C1936" s="4" t="str">
        <f>"郑云丽"</f>
        <v>郑云丽</v>
      </c>
      <c r="D1936" s="4" t="str">
        <f>"2021014305"</f>
        <v>2021014305</v>
      </c>
      <c r="E1936" s="4" t="str">
        <f t="shared" si="229"/>
        <v>43</v>
      </c>
      <c r="F1936" s="4" t="str">
        <f>"05"</f>
        <v>05</v>
      </c>
      <c r="G1936" s="4" t="s">
        <v>12</v>
      </c>
      <c r="H1936" s="5">
        <v>0</v>
      </c>
      <c r="I1936" s="6" t="s">
        <v>13</v>
      </c>
      <c r="J1936" s="4">
        <f>SUMPRODUCT(--((A1936=$A$3:$A$2785)*$H$3:$H$2785&gt;H1936))+1</f>
        <v>53</v>
      </c>
    </row>
    <row r="1937" s="1" customFormat="true" customHeight="true" spans="1:10">
      <c r="A1937" s="4" t="str">
        <f t="shared" si="228"/>
        <v>023</v>
      </c>
      <c r="B1937" s="4" t="s">
        <v>35</v>
      </c>
      <c r="C1937" s="4" t="str">
        <f>"潘叶勇"</f>
        <v>潘叶勇</v>
      </c>
      <c r="D1937" s="4" t="str">
        <f>"2021014306"</f>
        <v>2021014306</v>
      </c>
      <c r="E1937" s="4" t="str">
        <f t="shared" si="229"/>
        <v>43</v>
      </c>
      <c r="F1937" s="4" t="str">
        <f>"06"</f>
        <v>06</v>
      </c>
      <c r="G1937" s="4" t="s">
        <v>12</v>
      </c>
      <c r="H1937" s="5">
        <v>0</v>
      </c>
      <c r="I1937" s="6" t="s">
        <v>13</v>
      </c>
      <c r="J1937" s="4">
        <f>SUMPRODUCT(--((A1937=$A$3:$A$2785)*$H$3:$H$2785&gt;H1937))+1</f>
        <v>53</v>
      </c>
    </row>
    <row r="1938" s="1" customFormat="true" customHeight="true" spans="1:10">
      <c r="A1938" s="4" t="str">
        <f t="shared" si="228"/>
        <v>023</v>
      </c>
      <c r="B1938" s="4" t="s">
        <v>35</v>
      </c>
      <c r="C1938" s="4" t="str">
        <f>"胡春红"</f>
        <v>胡春红</v>
      </c>
      <c r="D1938" s="4" t="str">
        <f>"2021014307"</f>
        <v>2021014307</v>
      </c>
      <c r="E1938" s="4" t="str">
        <f t="shared" si="229"/>
        <v>43</v>
      </c>
      <c r="F1938" s="4" t="str">
        <f>"07"</f>
        <v>07</v>
      </c>
      <c r="G1938" s="4" t="s">
        <v>12</v>
      </c>
      <c r="H1938" s="5">
        <v>0</v>
      </c>
      <c r="I1938" s="6" t="s">
        <v>13</v>
      </c>
      <c r="J1938" s="4">
        <f>SUMPRODUCT(--((A1938=$A$3:$A$2785)*$H$3:$H$2785&gt;H1938))+1</f>
        <v>53</v>
      </c>
    </row>
    <row r="1939" s="1" customFormat="true" customHeight="true" spans="1:10">
      <c r="A1939" s="4" t="str">
        <f t="shared" si="228"/>
        <v>023</v>
      </c>
      <c r="B1939" s="4" t="s">
        <v>35</v>
      </c>
      <c r="C1939" s="4" t="str">
        <f>"向琳芳"</f>
        <v>向琳芳</v>
      </c>
      <c r="D1939" s="4" t="str">
        <f>"2021014309"</f>
        <v>2021014309</v>
      </c>
      <c r="E1939" s="4" t="str">
        <f t="shared" si="229"/>
        <v>43</v>
      </c>
      <c r="F1939" s="4" t="str">
        <f>"09"</f>
        <v>09</v>
      </c>
      <c r="G1939" s="4" t="s">
        <v>12</v>
      </c>
      <c r="H1939" s="5">
        <v>0</v>
      </c>
      <c r="I1939" s="6" t="s">
        <v>13</v>
      </c>
      <c r="J1939" s="4">
        <f>SUMPRODUCT(--((A1939=$A$3:$A$2785)*$H$3:$H$2785&gt;H1939))+1</f>
        <v>53</v>
      </c>
    </row>
    <row r="1940" s="1" customFormat="true" customHeight="true" spans="1:10">
      <c r="A1940" s="4" t="str">
        <f t="shared" si="228"/>
        <v>023</v>
      </c>
      <c r="B1940" s="4" t="s">
        <v>35</v>
      </c>
      <c r="C1940" s="4" t="str">
        <f>"余玲玲"</f>
        <v>余玲玲</v>
      </c>
      <c r="D1940" s="4" t="str">
        <f>"2021014316"</f>
        <v>2021014316</v>
      </c>
      <c r="E1940" s="4" t="str">
        <f t="shared" si="229"/>
        <v>43</v>
      </c>
      <c r="F1940" s="4" t="str">
        <f>"16"</f>
        <v>16</v>
      </c>
      <c r="G1940" s="4" t="s">
        <v>12</v>
      </c>
      <c r="H1940" s="5">
        <v>0</v>
      </c>
      <c r="I1940" s="6" t="s">
        <v>13</v>
      </c>
      <c r="J1940" s="4">
        <f>SUMPRODUCT(--((A1940=$A$3:$A$2785)*$H$3:$H$2785&gt;H1940))+1</f>
        <v>53</v>
      </c>
    </row>
    <row r="1941" s="1" customFormat="true" customHeight="true" spans="1:10">
      <c r="A1941" s="4" t="str">
        <f t="shared" si="228"/>
        <v>023</v>
      </c>
      <c r="B1941" s="4" t="s">
        <v>35</v>
      </c>
      <c r="C1941" s="4" t="str">
        <f>"陈娇"</f>
        <v>陈娇</v>
      </c>
      <c r="D1941" s="4" t="str">
        <f>"2021014319"</f>
        <v>2021014319</v>
      </c>
      <c r="E1941" s="4" t="str">
        <f t="shared" si="229"/>
        <v>43</v>
      </c>
      <c r="F1941" s="4" t="str">
        <f>"19"</f>
        <v>19</v>
      </c>
      <c r="G1941" s="4" t="s">
        <v>12</v>
      </c>
      <c r="H1941" s="5">
        <v>0</v>
      </c>
      <c r="I1941" s="6" t="s">
        <v>13</v>
      </c>
      <c r="J1941" s="4">
        <f>SUMPRODUCT(--((A1941=$A$3:$A$2785)*$H$3:$H$2785&gt;H1941))+1</f>
        <v>53</v>
      </c>
    </row>
    <row r="1942" s="1" customFormat="true" customHeight="true" spans="1:10">
      <c r="A1942" s="4" t="str">
        <f t="shared" si="228"/>
        <v>023</v>
      </c>
      <c r="B1942" s="4" t="s">
        <v>35</v>
      </c>
      <c r="C1942" s="4" t="str">
        <f>"向梦林"</f>
        <v>向梦林</v>
      </c>
      <c r="D1942" s="4" t="str">
        <f>"2021014320"</f>
        <v>2021014320</v>
      </c>
      <c r="E1942" s="4" t="str">
        <f t="shared" si="229"/>
        <v>43</v>
      </c>
      <c r="F1942" s="4" t="str">
        <f>"20"</f>
        <v>20</v>
      </c>
      <c r="G1942" s="4" t="s">
        <v>12</v>
      </c>
      <c r="H1942" s="5">
        <v>0</v>
      </c>
      <c r="I1942" s="6" t="s">
        <v>13</v>
      </c>
      <c r="J1942" s="4">
        <f>SUMPRODUCT(--((A1942=$A$3:$A$2785)*$H$3:$H$2785&gt;H1942))+1</f>
        <v>53</v>
      </c>
    </row>
    <row r="1943" s="1" customFormat="true" customHeight="true" spans="1:10">
      <c r="A1943" s="4" t="str">
        <f t="shared" si="228"/>
        <v>023</v>
      </c>
      <c r="B1943" s="4" t="s">
        <v>35</v>
      </c>
      <c r="C1943" s="4" t="str">
        <f>"黄燕"</f>
        <v>黄燕</v>
      </c>
      <c r="D1943" s="4" t="str">
        <f>"2021014327"</f>
        <v>2021014327</v>
      </c>
      <c r="E1943" s="4" t="str">
        <f t="shared" si="229"/>
        <v>43</v>
      </c>
      <c r="F1943" s="4" t="str">
        <f>"27"</f>
        <v>27</v>
      </c>
      <c r="G1943" s="4" t="s">
        <v>12</v>
      </c>
      <c r="H1943" s="5">
        <v>0</v>
      </c>
      <c r="I1943" s="6" t="s">
        <v>13</v>
      </c>
      <c r="J1943" s="4">
        <f>SUMPRODUCT(--((A1943=$A$3:$A$2785)*$H$3:$H$2785&gt;H1943))+1</f>
        <v>53</v>
      </c>
    </row>
    <row r="1944" s="1" customFormat="true" customHeight="true" spans="1:10">
      <c r="A1944" s="4" t="str">
        <f t="shared" si="228"/>
        <v>023</v>
      </c>
      <c r="B1944" s="4" t="s">
        <v>35</v>
      </c>
      <c r="C1944" s="4" t="str">
        <f>"黄丹"</f>
        <v>黄丹</v>
      </c>
      <c r="D1944" s="4" t="str">
        <f>"2021014328"</f>
        <v>2021014328</v>
      </c>
      <c r="E1944" s="4" t="str">
        <f t="shared" si="229"/>
        <v>43</v>
      </c>
      <c r="F1944" s="4" t="str">
        <f>"28"</f>
        <v>28</v>
      </c>
      <c r="G1944" s="4" t="s">
        <v>12</v>
      </c>
      <c r="H1944" s="5">
        <v>0</v>
      </c>
      <c r="I1944" s="6" t="s">
        <v>13</v>
      </c>
      <c r="J1944" s="4">
        <f>SUMPRODUCT(--((A1944=$A$3:$A$2785)*$H$3:$H$2785&gt;H1944))+1</f>
        <v>53</v>
      </c>
    </row>
    <row r="1945" s="1" customFormat="true" customHeight="true" spans="1:10">
      <c r="A1945" s="4" t="str">
        <f t="shared" si="228"/>
        <v>023</v>
      </c>
      <c r="B1945" s="4" t="s">
        <v>35</v>
      </c>
      <c r="C1945" s="4" t="str">
        <f>"蒋雨蓉"</f>
        <v>蒋雨蓉</v>
      </c>
      <c r="D1945" s="4" t="str">
        <f>"2021014330"</f>
        <v>2021014330</v>
      </c>
      <c r="E1945" s="4" t="str">
        <f t="shared" si="229"/>
        <v>43</v>
      </c>
      <c r="F1945" s="4" t="str">
        <f>"30"</f>
        <v>30</v>
      </c>
      <c r="G1945" s="4" t="s">
        <v>12</v>
      </c>
      <c r="H1945" s="5">
        <v>0</v>
      </c>
      <c r="I1945" s="6" t="s">
        <v>13</v>
      </c>
      <c r="J1945" s="4">
        <f>SUMPRODUCT(--((A1945=$A$3:$A$2785)*$H$3:$H$2785&gt;H1945))+1</f>
        <v>53</v>
      </c>
    </row>
    <row r="1946" s="1" customFormat="true" customHeight="true" spans="1:10">
      <c r="A1946" s="4" t="str">
        <f t="shared" si="228"/>
        <v>023</v>
      </c>
      <c r="B1946" s="4" t="s">
        <v>35</v>
      </c>
      <c r="C1946" s="4" t="str">
        <f>"冉婧琳"</f>
        <v>冉婧琳</v>
      </c>
      <c r="D1946" s="4" t="str">
        <f>"2021014402"</f>
        <v>2021014402</v>
      </c>
      <c r="E1946" s="4" t="str">
        <f t="shared" ref="E1946:E1960" si="230">"44"</f>
        <v>44</v>
      </c>
      <c r="F1946" s="4" t="str">
        <f>"02"</f>
        <v>02</v>
      </c>
      <c r="G1946" s="4" t="s">
        <v>12</v>
      </c>
      <c r="H1946" s="5">
        <v>0</v>
      </c>
      <c r="I1946" s="6" t="s">
        <v>13</v>
      </c>
      <c r="J1946" s="4">
        <f>SUMPRODUCT(--((A1946=$A$3:$A$2785)*$H$3:$H$2785&gt;H1946))+1</f>
        <v>53</v>
      </c>
    </row>
    <row r="1947" s="1" customFormat="true" customHeight="true" spans="1:10">
      <c r="A1947" s="4" t="str">
        <f t="shared" si="228"/>
        <v>023</v>
      </c>
      <c r="B1947" s="4" t="s">
        <v>35</v>
      </c>
      <c r="C1947" s="4" t="str">
        <f>"武宏扬"</f>
        <v>武宏扬</v>
      </c>
      <c r="D1947" s="4" t="str">
        <f>"2021014403"</f>
        <v>2021014403</v>
      </c>
      <c r="E1947" s="4" t="str">
        <f t="shared" si="230"/>
        <v>44</v>
      </c>
      <c r="F1947" s="4" t="str">
        <f>"03"</f>
        <v>03</v>
      </c>
      <c r="G1947" s="4" t="s">
        <v>12</v>
      </c>
      <c r="H1947" s="5">
        <v>0</v>
      </c>
      <c r="I1947" s="6" t="s">
        <v>13</v>
      </c>
      <c r="J1947" s="4">
        <f>SUMPRODUCT(--((A1947=$A$3:$A$2785)*$H$3:$H$2785&gt;H1947))+1</f>
        <v>53</v>
      </c>
    </row>
    <row r="1948" s="1" customFormat="true" customHeight="true" spans="1:10">
      <c r="A1948" s="4" t="str">
        <f t="shared" si="228"/>
        <v>023</v>
      </c>
      <c r="B1948" s="4" t="s">
        <v>35</v>
      </c>
      <c r="C1948" s="4" t="str">
        <f>"向文欣"</f>
        <v>向文欣</v>
      </c>
      <c r="D1948" s="4" t="str">
        <f>"2021014404"</f>
        <v>2021014404</v>
      </c>
      <c r="E1948" s="4" t="str">
        <f t="shared" si="230"/>
        <v>44</v>
      </c>
      <c r="F1948" s="4" t="str">
        <f>"04"</f>
        <v>04</v>
      </c>
      <c r="G1948" s="4" t="s">
        <v>12</v>
      </c>
      <c r="H1948" s="5">
        <v>0</v>
      </c>
      <c r="I1948" s="6" t="s">
        <v>13</v>
      </c>
      <c r="J1948" s="4">
        <f>SUMPRODUCT(--((A1948=$A$3:$A$2785)*$H$3:$H$2785&gt;H1948))+1</f>
        <v>53</v>
      </c>
    </row>
    <row r="1949" s="1" customFormat="true" customHeight="true" spans="1:10">
      <c r="A1949" s="4" t="str">
        <f t="shared" si="228"/>
        <v>023</v>
      </c>
      <c r="B1949" s="4" t="s">
        <v>35</v>
      </c>
      <c r="C1949" s="4" t="str">
        <f>"陈燕"</f>
        <v>陈燕</v>
      </c>
      <c r="D1949" s="4" t="str">
        <f>"2021014405"</f>
        <v>2021014405</v>
      </c>
      <c r="E1949" s="4" t="str">
        <f t="shared" si="230"/>
        <v>44</v>
      </c>
      <c r="F1949" s="4" t="str">
        <f>"05"</f>
        <v>05</v>
      </c>
      <c r="G1949" s="4" t="s">
        <v>12</v>
      </c>
      <c r="H1949" s="5">
        <v>0</v>
      </c>
      <c r="I1949" s="6" t="s">
        <v>13</v>
      </c>
      <c r="J1949" s="4">
        <f>SUMPRODUCT(--((A1949=$A$3:$A$2785)*$H$3:$H$2785&gt;H1949))+1</f>
        <v>53</v>
      </c>
    </row>
    <row r="1950" s="1" customFormat="true" customHeight="true" spans="1:10">
      <c r="A1950" s="4" t="str">
        <f t="shared" si="228"/>
        <v>023</v>
      </c>
      <c r="B1950" s="4" t="s">
        <v>35</v>
      </c>
      <c r="C1950" s="4" t="str">
        <f>"周雅"</f>
        <v>周雅</v>
      </c>
      <c r="D1950" s="4" t="str">
        <f>"2021014407"</f>
        <v>2021014407</v>
      </c>
      <c r="E1950" s="4" t="str">
        <f t="shared" si="230"/>
        <v>44</v>
      </c>
      <c r="F1950" s="4" t="str">
        <f>"07"</f>
        <v>07</v>
      </c>
      <c r="G1950" s="4" t="s">
        <v>12</v>
      </c>
      <c r="H1950" s="5">
        <v>0</v>
      </c>
      <c r="I1950" s="6" t="s">
        <v>13</v>
      </c>
      <c r="J1950" s="4">
        <f>SUMPRODUCT(--((A1950=$A$3:$A$2785)*$H$3:$H$2785&gt;H1950))+1</f>
        <v>53</v>
      </c>
    </row>
    <row r="1951" s="1" customFormat="true" customHeight="true" spans="1:10">
      <c r="A1951" s="4" t="str">
        <f t="shared" si="228"/>
        <v>023</v>
      </c>
      <c r="B1951" s="4" t="s">
        <v>35</v>
      </c>
      <c r="C1951" s="4" t="str">
        <f>"陈姗姗"</f>
        <v>陈姗姗</v>
      </c>
      <c r="D1951" s="4" t="str">
        <f>"2021014408"</f>
        <v>2021014408</v>
      </c>
      <c r="E1951" s="4" t="str">
        <f t="shared" si="230"/>
        <v>44</v>
      </c>
      <c r="F1951" s="4" t="str">
        <f>"08"</f>
        <v>08</v>
      </c>
      <c r="G1951" s="4" t="s">
        <v>12</v>
      </c>
      <c r="H1951" s="5">
        <v>0</v>
      </c>
      <c r="I1951" s="6" t="s">
        <v>13</v>
      </c>
      <c r="J1951" s="4">
        <f>SUMPRODUCT(--((A1951=$A$3:$A$2785)*$H$3:$H$2785&gt;H1951))+1</f>
        <v>53</v>
      </c>
    </row>
    <row r="1952" s="1" customFormat="true" customHeight="true" spans="1:10">
      <c r="A1952" s="4" t="str">
        <f t="shared" si="228"/>
        <v>023</v>
      </c>
      <c r="B1952" s="4" t="s">
        <v>35</v>
      </c>
      <c r="C1952" s="4" t="str">
        <f>"梁冰"</f>
        <v>梁冰</v>
      </c>
      <c r="D1952" s="4" t="str">
        <f>"2021014413"</f>
        <v>2021014413</v>
      </c>
      <c r="E1952" s="4" t="str">
        <f t="shared" si="230"/>
        <v>44</v>
      </c>
      <c r="F1952" s="4" t="str">
        <f>"13"</f>
        <v>13</v>
      </c>
      <c r="G1952" s="4" t="s">
        <v>12</v>
      </c>
      <c r="H1952" s="5">
        <v>0</v>
      </c>
      <c r="I1952" s="6" t="s">
        <v>13</v>
      </c>
      <c r="J1952" s="4">
        <f>SUMPRODUCT(--((A1952=$A$3:$A$2785)*$H$3:$H$2785&gt;H1952))+1</f>
        <v>53</v>
      </c>
    </row>
    <row r="1953" s="1" customFormat="true" customHeight="true" spans="1:10">
      <c r="A1953" s="4" t="str">
        <f t="shared" si="228"/>
        <v>023</v>
      </c>
      <c r="B1953" s="4" t="s">
        <v>35</v>
      </c>
      <c r="C1953" s="4" t="str">
        <f>"宋华"</f>
        <v>宋华</v>
      </c>
      <c r="D1953" s="4" t="str">
        <f>"2021014418"</f>
        <v>2021014418</v>
      </c>
      <c r="E1953" s="4" t="str">
        <f t="shared" si="230"/>
        <v>44</v>
      </c>
      <c r="F1953" s="4" t="str">
        <f>"18"</f>
        <v>18</v>
      </c>
      <c r="G1953" s="4" t="s">
        <v>12</v>
      </c>
      <c r="H1953" s="5">
        <v>0</v>
      </c>
      <c r="I1953" s="6" t="s">
        <v>13</v>
      </c>
      <c r="J1953" s="4">
        <f>SUMPRODUCT(--((A1953=$A$3:$A$2785)*$H$3:$H$2785&gt;H1953))+1</f>
        <v>53</v>
      </c>
    </row>
    <row r="1954" s="1" customFormat="true" customHeight="true" spans="1:10">
      <c r="A1954" s="4" t="str">
        <f t="shared" si="228"/>
        <v>023</v>
      </c>
      <c r="B1954" s="4" t="s">
        <v>35</v>
      </c>
      <c r="C1954" s="4" t="str">
        <f>"陈娅玲"</f>
        <v>陈娅玲</v>
      </c>
      <c r="D1954" s="4" t="str">
        <f>"2021014421"</f>
        <v>2021014421</v>
      </c>
      <c r="E1954" s="4" t="str">
        <f t="shared" si="230"/>
        <v>44</v>
      </c>
      <c r="F1954" s="4" t="str">
        <f>"21"</f>
        <v>21</v>
      </c>
      <c r="G1954" s="4" t="s">
        <v>12</v>
      </c>
      <c r="H1954" s="5">
        <v>0</v>
      </c>
      <c r="I1954" s="6" t="s">
        <v>13</v>
      </c>
      <c r="J1954" s="4">
        <f>SUMPRODUCT(--((A1954=$A$3:$A$2785)*$H$3:$H$2785&gt;H1954))+1</f>
        <v>53</v>
      </c>
    </row>
    <row r="1955" s="1" customFormat="true" customHeight="true" spans="1:10">
      <c r="A1955" s="4" t="str">
        <f t="shared" si="228"/>
        <v>023</v>
      </c>
      <c r="B1955" s="4" t="s">
        <v>35</v>
      </c>
      <c r="C1955" s="4" t="str">
        <f>"杨丹"</f>
        <v>杨丹</v>
      </c>
      <c r="D1955" s="4" t="str">
        <f>"2021014422"</f>
        <v>2021014422</v>
      </c>
      <c r="E1955" s="4" t="str">
        <f t="shared" si="230"/>
        <v>44</v>
      </c>
      <c r="F1955" s="4" t="str">
        <f>"22"</f>
        <v>22</v>
      </c>
      <c r="G1955" s="4" t="s">
        <v>12</v>
      </c>
      <c r="H1955" s="5">
        <v>0</v>
      </c>
      <c r="I1955" s="6" t="s">
        <v>13</v>
      </c>
      <c r="J1955" s="4">
        <f>SUMPRODUCT(--((A1955=$A$3:$A$2785)*$H$3:$H$2785&gt;H1955))+1</f>
        <v>53</v>
      </c>
    </row>
    <row r="1956" s="1" customFormat="true" customHeight="true" spans="1:10">
      <c r="A1956" s="4" t="str">
        <f t="shared" si="228"/>
        <v>023</v>
      </c>
      <c r="B1956" s="4" t="s">
        <v>35</v>
      </c>
      <c r="C1956" s="4" t="str">
        <f>"肖翠屏"</f>
        <v>肖翠屏</v>
      </c>
      <c r="D1956" s="4" t="str">
        <f>"2021014424"</f>
        <v>2021014424</v>
      </c>
      <c r="E1956" s="4" t="str">
        <f t="shared" si="230"/>
        <v>44</v>
      </c>
      <c r="F1956" s="4" t="str">
        <f>"24"</f>
        <v>24</v>
      </c>
      <c r="G1956" s="4" t="s">
        <v>12</v>
      </c>
      <c r="H1956" s="5">
        <v>0</v>
      </c>
      <c r="I1956" s="6" t="s">
        <v>13</v>
      </c>
      <c r="J1956" s="4">
        <f>SUMPRODUCT(--((A1956=$A$3:$A$2785)*$H$3:$H$2785&gt;H1956))+1</f>
        <v>53</v>
      </c>
    </row>
    <row r="1957" s="1" customFormat="true" customHeight="true" spans="1:10">
      <c r="A1957" s="4" t="str">
        <f t="shared" si="228"/>
        <v>023</v>
      </c>
      <c r="B1957" s="4" t="s">
        <v>35</v>
      </c>
      <c r="C1957" s="4" t="str">
        <f>"谌庸"</f>
        <v>谌庸</v>
      </c>
      <c r="D1957" s="4" t="str">
        <f>"2021014426"</f>
        <v>2021014426</v>
      </c>
      <c r="E1957" s="4" t="str">
        <f t="shared" si="230"/>
        <v>44</v>
      </c>
      <c r="F1957" s="4" t="str">
        <f>"26"</f>
        <v>26</v>
      </c>
      <c r="G1957" s="4" t="s">
        <v>12</v>
      </c>
      <c r="H1957" s="5">
        <v>0</v>
      </c>
      <c r="I1957" s="6" t="s">
        <v>13</v>
      </c>
      <c r="J1957" s="4">
        <f>SUMPRODUCT(--((A1957=$A$3:$A$2785)*$H$3:$H$2785&gt;H1957))+1</f>
        <v>53</v>
      </c>
    </row>
    <row r="1958" s="1" customFormat="true" customHeight="true" spans="1:10">
      <c r="A1958" s="4" t="str">
        <f t="shared" si="228"/>
        <v>023</v>
      </c>
      <c r="B1958" s="4" t="s">
        <v>35</v>
      </c>
      <c r="C1958" s="4" t="str">
        <f>"伍香"</f>
        <v>伍香</v>
      </c>
      <c r="D1958" s="4" t="str">
        <f>"2021014428"</f>
        <v>2021014428</v>
      </c>
      <c r="E1958" s="4" t="str">
        <f t="shared" si="230"/>
        <v>44</v>
      </c>
      <c r="F1958" s="4" t="str">
        <f>"28"</f>
        <v>28</v>
      </c>
      <c r="G1958" s="4" t="s">
        <v>12</v>
      </c>
      <c r="H1958" s="5">
        <v>0</v>
      </c>
      <c r="I1958" s="6" t="s">
        <v>13</v>
      </c>
      <c r="J1958" s="4">
        <f>SUMPRODUCT(--((A1958=$A$3:$A$2785)*$H$3:$H$2785&gt;H1958))+1</f>
        <v>53</v>
      </c>
    </row>
    <row r="1959" s="1" customFormat="true" customHeight="true" spans="1:10">
      <c r="A1959" s="4" t="str">
        <f t="shared" si="228"/>
        <v>023</v>
      </c>
      <c r="B1959" s="4" t="s">
        <v>35</v>
      </c>
      <c r="C1959" s="4" t="str">
        <f>"梁紫玲"</f>
        <v>梁紫玲</v>
      </c>
      <c r="D1959" s="4" t="str">
        <f>"2021014429"</f>
        <v>2021014429</v>
      </c>
      <c r="E1959" s="4" t="str">
        <f t="shared" si="230"/>
        <v>44</v>
      </c>
      <c r="F1959" s="4" t="str">
        <f>"29"</f>
        <v>29</v>
      </c>
      <c r="G1959" s="4" t="s">
        <v>12</v>
      </c>
      <c r="H1959" s="5">
        <v>0</v>
      </c>
      <c r="I1959" s="6" t="s">
        <v>13</v>
      </c>
      <c r="J1959" s="4">
        <f>SUMPRODUCT(--((A1959=$A$3:$A$2785)*$H$3:$H$2785&gt;H1959))+1</f>
        <v>53</v>
      </c>
    </row>
    <row r="1960" s="1" customFormat="true" customHeight="true" spans="1:10">
      <c r="A1960" s="4" t="str">
        <f t="shared" si="228"/>
        <v>023</v>
      </c>
      <c r="B1960" s="4" t="s">
        <v>35</v>
      </c>
      <c r="C1960" s="4" t="str">
        <f>"卢珊"</f>
        <v>卢珊</v>
      </c>
      <c r="D1960" s="4" t="str">
        <f>"2021014430"</f>
        <v>2021014430</v>
      </c>
      <c r="E1960" s="4" t="str">
        <f t="shared" si="230"/>
        <v>44</v>
      </c>
      <c r="F1960" s="4" t="str">
        <f>"30"</f>
        <v>30</v>
      </c>
      <c r="G1960" s="4" t="s">
        <v>12</v>
      </c>
      <c r="H1960" s="5">
        <v>0</v>
      </c>
      <c r="I1960" s="6" t="s">
        <v>13</v>
      </c>
      <c r="J1960" s="4">
        <f>SUMPRODUCT(--((A1960=$A$3:$A$2785)*$H$3:$H$2785&gt;H1960))+1</f>
        <v>53</v>
      </c>
    </row>
    <row r="1961" s="1" customFormat="true" customHeight="true" spans="1:10">
      <c r="A1961" s="4" t="str">
        <f t="shared" si="228"/>
        <v>023</v>
      </c>
      <c r="B1961" s="4" t="s">
        <v>35</v>
      </c>
      <c r="C1961" s="4" t="str">
        <f>"杨雯珊"</f>
        <v>杨雯珊</v>
      </c>
      <c r="D1961" s="4" t="str">
        <f>"2021014502"</f>
        <v>2021014502</v>
      </c>
      <c r="E1961" s="4" t="str">
        <f>"45"</f>
        <v>45</v>
      </c>
      <c r="F1961" s="4" t="str">
        <f>"02"</f>
        <v>02</v>
      </c>
      <c r="G1961" s="4" t="s">
        <v>12</v>
      </c>
      <c r="H1961" s="5">
        <v>0</v>
      </c>
      <c r="I1961" s="6" t="s">
        <v>13</v>
      </c>
      <c r="J1961" s="4">
        <f>SUMPRODUCT(--((A1961=$A$3:$A$2785)*$H$3:$H$2785&gt;H1961))+1</f>
        <v>53</v>
      </c>
    </row>
    <row r="1962" s="1" customFormat="true" customHeight="true" spans="1:10">
      <c r="A1962" s="4" t="str">
        <f t="shared" ref="A1962:A1978" si="231">"024"</f>
        <v>024</v>
      </c>
      <c r="B1962" s="4" t="s">
        <v>36</v>
      </c>
      <c r="C1962" s="4" t="str">
        <f>"唐瑜琦"</f>
        <v>唐瑜琦</v>
      </c>
      <c r="D1962" s="4" t="str">
        <f>"2021014622"</f>
        <v>2021014622</v>
      </c>
      <c r="E1962" s="4" t="str">
        <f t="shared" ref="E1962:E1978" si="232">"46"</f>
        <v>46</v>
      </c>
      <c r="F1962" s="4" t="str">
        <f>"22"</f>
        <v>22</v>
      </c>
      <c r="G1962" s="4" t="s">
        <v>12</v>
      </c>
      <c r="H1962" s="5">
        <v>70.4</v>
      </c>
      <c r="I1962" s="4"/>
      <c r="J1962" s="4">
        <f>SUMPRODUCT(--((A1962=$A$3:$A$2785)*$H$3:$H$2785&gt;H1962))+1</f>
        <v>1</v>
      </c>
    </row>
    <row r="1963" s="1" customFormat="true" customHeight="true" spans="1:10">
      <c r="A1963" s="4" t="str">
        <f t="shared" si="231"/>
        <v>024</v>
      </c>
      <c r="B1963" s="4" t="s">
        <v>36</v>
      </c>
      <c r="C1963" s="4" t="str">
        <f>"杨丽"</f>
        <v>杨丽</v>
      </c>
      <c r="D1963" s="4" t="str">
        <f>"2021014607"</f>
        <v>2021014607</v>
      </c>
      <c r="E1963" s="4" t="str">
        <f t="shared" si="232"/>
        <v>46</v>
      </c>
      <c r="F1963" s="4" t="str">
        <f>"07"</f>
        <v>07</v>
      </c>
      <c r="G1963" s="4" t="s">
        <v>12</v>
      </c>
      <c r="H1963" s="5">
        <v>70.35</v>
      </c>
      <c r="I1963" s="4"/>
      <c r="J1963" s="4">
        <f>SUMPRODUCT(--((A1963=$A$3:$A$2785)*$H$3:$H$2785&gt;H1963))+1</f>
        <v>2</v>
      </c>
    </row>
    <row r="1964" s="1" customFormat="true" customHeight="true" spans="1:10">
      <c r="A1964" s="4" t="str">
        <f t="shared" si="231"/>
        <v>024</v>
      </c>
      <c r="B1964" s="4" t="s">
        <v>36</v>
      </c>
      <c r="C1964" s="4" t="str">
        <f>"陈美凤"</f>
        <v>陈美凤</v>
      </c>
      <c r="D1964" s="4" t="str">
        <f>"2021014623"</f>
        <v>2021014623</v>
      </c>
      <c r="E1964" s="4" t="str">
        <f t="shared" si="232"/>
        <v>46</v>
      </c>
      <c r="F1964" s="4" t="str">
        <f>"23"</f>
        <v>23</v>
      </c>
      <c r="G1964" s="4" t="s">
        <v>12</v>
      </c>
      <c r="H1964" s="5">
        <v>69.3</v>
      </c>
      <c r="I1964" s="4"/>
      <c r="J1964" s="4">
        <f>SUMPRODUCT(--((A1964=$A$3:$A$2785)*$H$3:$H$2785&gt;H1964))+1</f>
        <v>3</v>
      </c>
    </row>
    <row r="1965" s="1" customFormat="true" customHeight="true" spans="1:10">
      <c r="A1965" s="4" t="str">
        <f t="shared" si="231"/>
        <v>024</v>
      </c>
      <c r="B1965" s="4" t="s">
        <v>36</v>
      </c>
      <c r="C1965" s="4" t="str">
        <f>"何艳丽"</f>
        <v>何艳丽</v>
      </c>
      <c r="D1965" s="4" t="str">
        <f>"2021014615"</f>
        <v>2021014615</v>
      </c>
      <c r="E1965" s="4" t="str">
        <f t="shared" si="232"/>
        <v>46</v>
      </c>
      <c r="F1965" s="4" t="str">
        <f>"15"</f>
        <v>15</v>
      </c>
      <c r="G1965" s="4" t="s">
        <v>12</v>
      </c>
      <c r="H1965" s="5">
        <v>66.85</v>
      </c>
      <c r="I1965" s="4"/>
      <c r="J1965" s="4">
        <f>SUMPRODUCT(--((A1965=$A$3:$A$2785)*$H$3:$H$2785&gt;H1965))+1</f>
        <v>4</v>
      </c>
    </row>
    <row r="1966" s="1" customFormat="true" customHeight="true" spans="1:10">
      <c r="A1966" s="4" t="str">
        <f t="shared" si="231"/>
        <v>024</v>
      </c>
      <c r="B1966" s="4" t="s">
        <v>36</v>
      </c>
      <c r="C1966" s="4" t="str">
        <f>"夏雪"</f>
        <v>夏雪</v>
      </c>
      <c r="D1966" s="4" t="str">
        <f>"2021014611"</f>
        <v>2021014611</v>
      </c>
      <c r="E1966" s="4" t="str">
        <f t="shared" si="232"/>
        <v>46</v>
      </c>
      <c r="F1966" s="4" t="str">
        <f>"11"</f>
        <v>11</v>
      </c>
      <c r="G1966" s="4" t="s">
        <v>12</v>
      </c>
      <c r="H1966" s="5">
        <v>65.7</v>
      </c>
      <c r="I1966" s="4"/>
      <c r="J1966" s="4">
        <f>SUMPRODUCT(--((A1966=$A$3:$A$2785)*$H$3:$H$2785&gt;H1966))+1</f>
        <v>5</v>
      </c>
    </row>
    <row r="1967" s="1" customFormat="true" customHeight="true" spans="1:10">
      <c r="A1967" s="4" t="str">
        <f t="shared" si="231"/>
        <v>024</v>
      </c>
      <c r="B1967" s="4" t="s">
        <v>36</v>
      </c>
      <c r="C1967" s="4" t="str">
        <f>"黄燕榴"</f>
        <v>黄燕榴</v>
      </c>
      <c r="D1967" s="4" t="str">
        <f>"2021014617"</f>
        <v>2021014617</v>
      </c>
      <c r="E1967" s="4" t="str">
        <f t="shared" si="232"/>
        <v>46</v>
      </c>
      <c r="F1967" s="4" t="str">
        <f>"17"</f>
        <v>17</v>
      </c>
      <c r="G1967" s="4" t="s">
        <v>12</v>
      </c>
      <c r="H1967" s="5">
        <v>65</v>
      </c>
      <c r="I1967" s="4"/>
      <c r="J1967" s="4">
        <f>SUMPRODUCT(--((A1967=$A$3:$A$2785)*$H$3:$H$2785&gt;H1967))+1</f>
        <v>6</v>
      </c>
    </row>
    <row r="1968" s="1" customFormat="true" customHeight="true" spans="1:10">
      <c r="A1968" s="4" t="str">
        <f t="shared" si="231"/>
        <v>024</v>
      </c>
      <c r="B1968" s="4" t="s">
        <v>36</v>
      </c>
      <c r="C1968" s="4" t="str">
        <f>"陈丽楠"</f>
        <v>陈丽楠</v>
      </c>
      <c r="D1968" s="4" t="str">
        <f>"2021014620"</f>
        <v>2021014620</v>
      </c>
      <c r="E1968" s="4" t="str">
        <f t="shared" si="232"/>
        <v>46</v>
      </c>
      <c r="F1968" s="4" t="str">
        <f>"20"</f>
        <v>20</v>
      </c>
      <c r="G1968" s="4" t="s">
        <v>12</v>
      </c>
      <c r="H1968" s="5">
        <v>62.8</v>
      </c>
      <c r="I1968" s="4"/>
      <c r="J1968" s="4">
        <f>SUMPRODUCT(--((A1968=$A$3:$A$2785)*$H$3:$H$2785&gt;H1968))+1</f>
        <v>7</v>
      </c>
    </row>
    <row r="1969" s="1" customFormat="true" customHeight="true" spans="1:10">
      <c r="A1969" s="4" t="str">
        <f t="shared" si="231"/>
        <v>024</v>
      </c>
      <c r="B1969" s="4" t="s">
        <v>36</v>
      </c>
      <c r="C1969" s="4" t="str">
        <f>"龙淋淋"</f>
        <v>龙淋淋</v>
      </c>
      <c r="D1969" s="4" t="str">
        <f>"2021014610"</f>
        <v>2021014610</v>
      </c>
      <c r="E1969" s="4" t="str">
        <f t="shared" si="232"/>
        <v>46</v>
      </c>
      <c r="F1969" s="4" t="str">
        <f>"10"</f>
        <v>10</v>
      </c>
      <c r="G1969" s="4" t="s">
        <v>12</v>
      </c>
      <c r="H1969" s="5">
        <v>54.3</v>
      </c>
      <c r="I1969" s="4"/>
      <c r="J1969" s="4">
        <f>SUMPRODUCT(--((A1969=$A$3:$A$2785)*$H$3:$H$2785&gt;H1969))+1</f>
        <v>8</v>
      </c>
    </row>
    <row r="1970" s="1" customFormat="true" customHeight="true" spans="1:10">
      <c r="A1970" s="4" t="str">
        <f t="shared" si="231"/>
        <v>024</v>
      </c>
      <c r="B1970" s="4" t="s">
        <v>36</v>
      </c>
      <c r="C1970" s="4" t="str">
        <f>"曾旭"</f>
        <v>曾旭</v>
      </c>
      <c r="D1970" s="4" t="str">
        <f>"2021014608"</f>
        <v>2021014608</v>
      </c>
      <c r="E1970" s="4" t="str">
        <f t="shared" si="232"/>
        <v>46</v>
      </c>
      <c r="F1970" s="4" t="str">
        <f>"08"</f>
        <v>08</v>
      </c>
      <c r="G1970" s="4" t="s">
        <v>12</v>
      </c>
      <c r="H1970" s="5">
        <v>0</v>
      </c>
      <c r="I1970" s="6" t="s">
        <v>13</v>
      </c>
      <c r="J1970" s="4">
        <f>SUMPRODUCT(--((A1970=$A$3:$A$2785)*$H$3:$H$2785&gt;H1970))+1</f>
        <v>9</v>
      </c>
    </row>
    <row r="1971" s="1" customFormat="true" customHeight="true" spans="1:10">
      <c r="A1971" s="4" t="str">
        <f t="shared" si="231"/>
        <v>024</v>
      </c>
      <c r="B1971" s="4" t="s">
        <v>36</v>
      </c>
      <c r="C1971" s="4" t="str">
        <f>"邹思萍"</f>
        <v>邹思萍</v>
      </c>
      <c r="D1971" s="4" t="str">
        <f>"2021014609"</f>
        <v>2021014609</v>
      </c>
      <c r="E1971" s="4" t="str">
        <f t="shared" si="232"/>
        <v>46</v>
      </c>
      <c r="F1971" s="4" t="str">
        <f>"09"</f>
        <v>09</v>
      </c>
      <c r="G1971" s="4" t="s">
        <v>12</v>
      </c>
      <c r="H1971" s="5">
        <v>0</v>
      </c>
      <c r="I1971" s="6" t="s">
        <v>13</v>
      </c>
      <c r="J1971" s="4">
        <f>SUMPRODUCT(--((A1971=$A$3:$A$2785)*$H$3:$H$2785&gt;H1971))+1</f>
        <v>9</v>
      </c>
    </row>
    <row r="1972" s="1" customFormat="true" customHeight="true" spans="1:10">
      <c r="A1972" s="4" t="str">
        <f t="shared" si="231"/>
        <v>024</v>
      </c>
      <c r="B1972" s="4" t="s">
        <v>36</v>
      </c>
      <c r="C1972" s="4" t="str">
        <f>"吴娅"</f>
        <v>吴娅</v>
      </c>
      <c r="D1972" s="4" t="str">
        <f>"2021014612"</f>
        <v>2021014612</v>
      </c>
      <c r="E1972" s="4" t="str">
        <f t="shared" si="232"/>
        <v>46</v>
      </c>
      <c r="F1972" s="4" t="str">
        <f>"12"</f>
        <v>12</v>
      </c>
      <c r="G1972" s="4" t="s">
        <v>12</v>
      </c>
      <c r="H1972" s="5">
        <v>0</v>
      </c>
      <c r="I1972" s="6" t="s">
        <v>13</v>
      </c>
      <c r="J1972" s="4">
        <f>SUMPRODUCT(--((A1972=$A$3:$A$2785)*$H$3:$H$2785&gt;H1972))+1</f>
        <v>9</v>
      </c>
    </row>
    <row r="1973" s="1" customFormat="true" customHeight="true" spans="1:10">
      <c r="A1973" s="4" t="str">
        <f t="shared" si="231"/>
        <v>024</v>
      </c>
      <c r="B1973" s="4" t="s">
        <v>36</v>
      </c>
      <c r="C1973" s="4" t="str">
        <f>"吴娇扬"</f>
        <v>吴娇扬</v>
      </c>
      <c r="D1973" s="4" t="str">
        <f>"2021014613"</f>
        <v>2021014613</v>
      </c>
      <c r="E1973" s="4" t="str">
        <f t="shared" si="232"/>
        <v>46</v>
      </c>
      <c r="F1973" s="4" t="str">
        <f>"13"</f>
        <v>13</v>
      </c>
      <c r="G1973" s="4" t="s">
        <v>12</v>
      </c>
      <c r="H1973" s="5">
        <v>0</v>
      </c>
      <c r="I1973" s="6" t="s">
        <v>13</v>
      </c>
      <c r="J1973" s="4">
        <f>SUMPRODUCT(--((A1973=$A$3:$A$2785)*$H$3:$H$2785&gt;H1973))+1</f>
        <v>9</v>
      </c>
    </row>
    <row r="1974" s="1" customFormat="true" customHeight="true" spans="1:10">
      <c r="A1974" s="4" t="str">
        <f t="shared" si="231"/>
        <v>024</v>
      </c>
      <c r="B1974" s="4" t="s">
        <v>36</v>
      </c>
      <c r="C1974" s="4" t="str">
        <f>"唐玉玲"</f>
        <v>唐玉玲</v>
      </c>
      <c r="D1974" s="4" t="str">
        <f>"2021014614"</f>
        <v>2021014614</v>
      </c>
      <c r="E1974" s="4" t="str">
        <f t="shared" si="232"/>
        <v>46</v>
      </c>
      <c r="F1974" s="4" t="str">
        <f>"14"</f>
        <v>14</v>
      </c>
      <c r="G1974" s="4" t="s">
        <v>12</v>
      </c>
      <c r="H1974" s="5">
        <v>0</v>
      </c>
      <c r="I1974" s="6" t="s">
        <v>13</v>
      </c>
      <c r="J1974" s="4">
        <f>SUMPRODUCT(--((A1974=$A$3:$A$2785)*$H$3:$H$2785&gt;H1974))+1</f>
        <v>9</v>
      </c>
    </row>
    <row r="1975" s="1" customFormat="true" customHeight="true" spans="1:10">
      <c r="A1975" s="4" t="str">
        <f t="shared" si="231"/>
        <v>024</v>
      </c>
      <c r="B1975" s="4" t="s">
        <v>36</v>
      </c>
      <c r="C1975" s="4" t="str">
        <f>"周玲"</f>
        <v>周玲</v>
      </c>
      <c r="D1975" s="4" t="str">
        <f>"2021014616"</f>
        <v>2021014616</v>
      </c>
      <c r="E1975" s="4" t="str">
        <f t="shared" si="232"/>
        <v>46</v>
      </c>
      <c r="F1975" s="4" t="str">
        <f>"16"</f>
        <v>16</v>
      </c>
      <c r="G1975" s="4" t="s">
        <v>12</v>
      </c>
      <c r="H1975" s="5">
        <v>0</v>
      </c>
      <c r="I1975" s="6" t="s">
        <v>13</v>
      </c>
      <c r="J1975" s="4">
        <f>SUMPRODUCT(--((A1975=$A$3:$A$2785)*$H$3:$H$2785&gt;H1975))+1</f>
        <v>9</v>
      </c>
    </row>
    <row r="1976" s="1" customFormat="true" customHeight="true" spans="1:10">
      <c r="A1976" s="4" t="str">
        <f t="shared" si="231"/>
        <v>024</v>
      </c>
      <c r="B1976" s="4" t="s">
        <v>36</v>
      </c>
      <c r="C1976" s="4" t="str">
        <f>"严伙平"</f>
        <v>严伙平</v>
      </c>
      <c r="D1976" s="4" t="str">
        <f>"2021014618"</f>
        <v>2021014618</v>
      </c>
      <c r="E1976" s="4" t="str">
        <f t="shared" si="232"/>
        <v>46</v>
      </c>
      <c r="F1976" s="4" t="str">
        <f>"18"</f>
        <v>18</v>
      </c>
      <c r="G1976" s="4" t="s">
        <v>12</v>
      </c>
      <c r="H1976" s="5">
        <v>0</v>
      </c>
      <c r="I1976" s="6" t="s">
        <v>13</v>
      </c>
      <c r="J1976" s="4">
        <f>SUMPRODUCT(--((A1976=$A$3:$A$2785)*$H$3:$H$2785&gt;H1976))+1</f>
        <v>9</v>
      </c>
    </row>
    <row r="1977" s="1" customFormat="true" customHeight="true" spans="1:10">
      <c r="A1977" s="4" t="str">
        <f t="shared" si="231"/>
        <v>024</v>
      </c>
      <c r="B1977" s="4" t="s">
        <v>36</v>
      </c>
      <c r="C1977" s="4" t="str">
        <f>"马超平"</f>
        <v>马超平</v>
      </c>
      <c r="D1977" s="4" t="str">
        <f>"2021014619"</f>
        <v>2021014619</v>
      </c>
      <c r="E1977" s="4" t="str">
        <f t="shared" si="232"/>
        <v>46</v>
      </c>
      <c r="F1977" s="4" t="str">
        <f>"19"</f>
        <v>19</v>
      </c>
      <c r="G1977" s="4" t="s">
        <v>12</v>
      </c>
      <c r="H1977" s="5">
        <v>0</v>
      </c>
      <c r="I1977" s="6" t="s">
        <v>13</v>
      </c>
      <c r="J1977" s="4">
        <f>SUMPRODUCT(--((A1977=$A$3:$A$2785)*$H$3:$H$2785&gt;H1977))+1</f>
        <v>9</v>
      </c>
    </row>
    <row r="1978" s="1" customFormat="true" customHeight="true" spans="1:10">
      <c r="A1978" s="4" t="str">
        <f t="shared" si="231"/>
        <v>024</v>
      </c>
      <c r="B1978" s="4" t="s">
        <v>36</v>
      </c>
      <c r="C1978" s="4" t="str">
        <f>"吴丹"</f>
        <v>吴丹</v>
      </c>
      <c r="D1978" s="4" t="str">
        <f>"2021014621"</f>
        <v>2021014621</v>
      </c>
      <c r="E1978" s="4" t="str">
        <f t="shared" si="232"/>
        <v>46</v>
      </c>
      <c r="F1978" s="4" t="str">
        <f>"21"</f>
        <v>21</v>
      </c>
      <c r="G1978" s="4" t="s">
        <v>12</v>
      </c>
      <c r="H1978" s="5">
        <v>0</v>
      </c>
      <c r="I1978" s="6" t="s">
        <v>13</v>
      </c>
      <c r="J1978" s="4">
        <f>SUMPRODUCT(--((A1978=$A$3:$A$2785)*$H$3:$H$2785&gt;H1978))+1</f>
        <v>9</v>
      </c>
    </row>
    <row r="1979" s="1" customFormat="true" customHeight="true" spans="1:10">
      <c r="A1979" s="4" t="str">
        <f t="shared" ref="A1979:A2014" si="233">"025"</f>
        <v>025</v>
      </c>
      <c r="B1979" s="4" t="s">
        <v>37</v>
      </c>
      <c r="C1979" s="4" t="str">
        <f>"蔡媛媛"</f>
        <v>蔡媛媛</v>
      </c>
      <c r="D1979" s="4" t="str">
        <f>"2021015105"</f>
        <v>2021015105</v>
      </c>
      <c r="E1979" s="4" t="str">
        <f t="shared" ref="E1979:E1985" si="234">"51"</f>
        <v>51</v>
      </c>
      <c r="F1979" s="4" t="str">
        <f>"05"</f>
        <v>05</v>
      </c>
      <c r="G1979" s="4" t="s">
        <v>12</v>
      </c>
      <c r="H1979" s="5">
        <v>74.4</v>
      </c>
      <c r="I1979" s="4"/>
      <c r="J1979" s="4">
        <f>SUMPRODUCT(--((A1979=$A$3:$A$2785)*$H$3:$H$2785&gt;H1979))+1</f>
        <v>1</v>
      </c>
    </row>
    <row r="1980" s="1" customFormat="true" customHeight="true" spans="1:10">
      <c r="A1980" s="4" t="str">
        <f t="shared" si="233"/>
        <v>025</v>
      </c>
      <c r="B1980" s="4" t="s">
        <v>37</v>
      </c>
      <c r="C1980" s="4" t="str">
        <f>"粟艳群"</f>
        <v>粟艳群</v>
      </c>
      <c r="D1980" s="4" t="str">
        <f>"2021015110"</f>
        <v>2021015110</v>
      </c>
      <c r="E1980" s="4" t="str">
        <f t="shared" si="234"/>
        <v>51</v>
      </c>
      <c r="F1980" s="4" t="str">
        <f>"10"</f>
        <v>10</v>
      </c>
      <c r="G1980" s="4" t="s">
        <v>12</v>
      </c>
      <c r="H1980" s="5">
        <v>73.75</v>
      </c>
      <c r="I1980" s="4"/>
      <c r="J1980" s="4">
        <f>SUMPRODUCT(--((A1980=$A$3:$A$2785)*$H$3:$H$2785&gt;H1980))+1</f>
        <v>2</v>
      </c>
    </row>
    <row r="1981" s="1" customFormat="true" customHeight="true" spans="1:10">
      <c r="A1981" s="4" t="str">
        <f t="shared" si="233"/>
        <v>025</v>
      </c>
      <c r="B1981" s="4" t="s">
        <v>37</v>
      </c>
      <c r="C1981" s="4" t="str">
        <f>"李建文"</f>
        <v>李建文</v>
      </c>
      <c r="D1981" s="4" t="str">
        <f>"2021015102"</f>
        <v>2021015102</v>
      </c>
      <c r="E1981" s="4" t="str">
        <f t="shared" si="234"/>
        <v>51</v>
      </c>
      <c r="F1981" s="4" t="str">
        <f>"02"</f>
        <v>02</v>
      </c>
      <c r="G1981" s="4" t="s">
        <v>12</v>
      </c>
      <c r="H1981" s="5">
        <v>73.5</v>
      </c>
      <c r="I1981" s="4"/>
      <c r="J1981" s="4">
        <f>SUMPRODUCT(--((A1981=$A$3:$A$2785)*$H$3:$H$2785&gt;H1981))+1</f>
        <v>3</v>
      </c>
    </row>
    <row r="1982" s="1" customFormat="true" customHeight="true" spans="1:10">
      <c r="A1982" s="4" t="str">
        <f t="shared" si="233"/>
        <v>025</v>
      </c>
      <c r="B1982" s="4" t="s">
        <v>37</v>
      </c>
      <c r="C1982" s="4" t="str">
        <f>"雷丽群"</f>
        <v>雷丽群</v>
      </c>
      <c r="D1982" s="4" t="str">
        <f>"2021015116"</f>
        <v>2021015116</v>
      </c>
      <c r="E1982" s="4" t="str">
        <f t="shared" si="234"/>
        <v>51</v>
      </c>
      <c r="F1982" s="4" t="str">
        <f>"16"</f>
        <v>16</v>
      </c>
      <c r="G1982" s="4" t="s">
        <v>12</v>
      </c>
      <c r="H1982" s="5">
        <v>72.85</v>
      </c>
      <c r="I1982" s="4"/>
      <c r="J1982" s="4">
        <f>SUMPRODUCT(--((A1982=$A$3:$A$2785)*$H$3:$H$2785&gt;H1982))+1</f>
        <v>4</v>
      </c>
    </row>
    <row r="1983" s="1" customFormat="true" customHeight="true" spans="1:10">
      <c r="A1983" s="4" t="str">
        <f t="shared" si="233"/>
        <v>025</v>
      </c>
      <c r="B1983" s="4" t="s">
        <v>37</v>
      </c>
      <c r="C1983" s="4" t="str">
        <f>"王加碧"</f>
        <v>王加碧</v>
      </c>
      <c r="D1983" s="4" t="str">
        <f>"2021015117"</f>
        <v>2021015117</v>
      </c>
      <c r="E1983" s="4" t="str">
        <f t="shared" si="234"/>
        <v>51</v>
      </c>
      <c r="F1983" s="4" t="str">
        <f>"17"</f>
        <v>17</v>
      </c>
      <c r="G1983" s="4" t="s">
        <v>12</v>
      </c>
      <c r="H1983" s="5">
        <v>72.8</v>
      </c>
      <c r="I1983" s="4"/>
      <c r="J1983" s="4">
        <f>SUMPRODUCT(--((A1983=$A$3:$A$2785)*$H$3:$H$2785&gt;H1983))+1</f>
        <v>5</v>
      </c>
    </row>
    <row r="1984" s="1" customFormat="true" customHeight="true" spans="1:10">
      <c r="A1984" s="4" t="str">
        <f t="shared" si="233"/>
        <v>025</v>
      </c>
      <c r="B1984" s="4" t="s">
        <v>37</v>
      </c>
      <c r="C1984" s="4" t="str">
        <f>"潘桢桢"</f>
        <v>潘桢桢</v>
      </c>
      <c r="D1984" s="4" t="str">
        <f>"2021015104"</f>
        <v>2021015104</v>
      </c>
      <c r="E1984" s="4" t="str">
        <f t="shared" si="234"/>
        <v>51</v>
      </c>
      <c r="F1984" s="4" t="str">
        <f>"04"</f>
        <v>04</v>
      </c>
      <c r="G1984" s="4" t="s">
        <v>12</v>
      </c>
      <c r="H1984" s="5">
        <v>72.1</v>
      </c>
      <c r="I1984" s="4"/>
      <c r="J1984" s="4">
        <f>SUMPRODUCT(--((A1984=$A$3:$A$2785)*$H$3:$H$2785&gt;H1984))+1</f>
        <v>6</v>
      </c>
    </row>
    <row r="1985" s="1" customFormat="true" customHeight="true" spans="1:10">
      <c r="A1985" s="4" t="str">
        <f t="shared" si="233"/>
        <v>025</v>
      </c>
      <c r="B1985" s="4" t="s">
        <v>37</v>
      </c>
      <c r="C1985" s="4" t="str">
        <f>"江玉琴"</f>
        <v>江玉琴</v>
      </c>
      <c r="D1985" s="4" t="str">
        <f>"2021015107"</f>
        <v>2021015107</v>
      </c>
      <c r="E1985" s="4" t="str">
        <f t="shared" si="234"/>
        <v>51</v>
      </c>
      <c r="F1985" s="4" t="str">
        <f>"07"</f>
        <v>07</v>
      </c>
      <c r="G1985" s="4" t="s">
        <v>12</v>
      </c>
      <c r="H1985" s="5">
        <v>72.05</v>
      </c>
      <c r="I1985" s="4"/>
      <c r="J1985" s="4">
        <f>SUMPRODUCT(--((A1985=$A$3:$A$2785)*$H$3:$H$2785&gt;H1985))+1</f>
        <v>7</v>
      </c>
    </row>
    <row r="1986" s="1" customFormat="true" customHeight="true" spans="1:10">
      <c r="A1986" s="4" t="str">
        <f t="shared" si="233"/>
        <v>025</v>
      </c>
      <c r="B1986" s="4" t="s">
        <v>37</v>
      </c>
      <c r="C1986" s="4" t="str">
        <f>"彭思雨"</f>
        <v>彭思雨</v>
      </c>
      <c r="D1986" s="4" t="str">
        <f>"2021015204"</f>
        <v>2021015204</v>
      </c>
      <c r="E1986" s="4" t="str">
        <f>"52"</f>
        <v>52</v>
      </c>
      <c r="F1986" s="4" t="str">
        <f>"04"</f>
        <v>04</v>
      </c>
      <c r="G1986" s="4" t="s">
        <v>12</v>
      </c>
      <c r="H1986" s="5">
        <v>71.95</v>
      </c>
      <c r="I1986" s="4"/>
      <c r="J1986" s="4">
        <f>SUMPRODUCT(--((A1986=$A$3:$A$2785)*$H$3:$H$2785&gt;H1986))+1</f>
        <v>8</v>
      </c>
    </row>
    <row r="1987" s="1" customFormat="true" customHeight="true" spans="1:10">
      <c r="A1987" s="4" t="str">
        <f t="shared" si="233"/>
        <v>025</v>
      </c>
      <c r="B1987" s="4" t="s">
        <v>37</v>
      </c>
      <c r="C1987" s="4" t="str">
        <f>"肖文芳"</f>
        <v>肖文芳</v>
      </c>
      <c r="D1987" s="4" t="str">
        <f>"2021015119"</f>
        <v>2021015119</v>
      </c>
      <c r="E1987" s="4" t="str">
        <f t="shared" ref="E1987:E1992" si="235">"51"</f>
        <v>51</v>
      </c>
      <c r="F1987" s="4" t="str">
        <f>"19"</f>
        <v>19</v>
      </c>
      <c r="G1987" s="4" t="s">
        <v>12</v>
      </c>
      <c r="H1987" s="5">
        <v>71.05</v>
      </c>
      <c r="I1987" s="4"/>
      <c r="J1987" s="4">
        <f>SUMPRODUCT(--((A1987=$A$3:$A$2785)*$H$3:$H$2785&gt;H1987))+1</f>
        <v>9</v>
      </c>
    </row>
    <row r="1988" s="1" customFormat="true" customHeight="true" spans="1:10">
      <c r="A1988" s="4" t="str">
        <f t="shared" si="233"/>
        <v>025</v>
      </c>
      <c r="B1988" s="4" t="s">
        <v>37</v>
      </c>
      <c r="C1988" s="4" t="str">
        <f>"刘思洁"</f>
        <v>刘思洁</v>
      </c>
      <c r="D1988" s="4" t="str">
        <f>"2021015201"</f>
        <v>2021015201</v>
      </c>
      <c r="E1988" s="4" t="str">
        <f>"52"</f>
        <v>52</v>
      </c>
      <c r="F1988" s="4" t="str">
        <f>"01"</f>
        <v>01</v>
      </c>
      <c r="G1988" s="4" t="s">
        <v>12</v>
      </c>
      <c r="H1988" s="5">
        <v>70.15</v>
      </c>
      <c r="I1988" s="4"/>
      <c r="J1988" s="4">
        <f>SUMPRODUCT(--((A1988=$A$3:$A$2785)*$H$3:$H$2785&gt;H1988))+1</f>
        <v>10</v>
      </c>
    </row>
    <row r="1989" s="1" customFormat="true" customHeight="true" spans="1:10">
      <c r="A1989" s="4" t="str">
        <f t="shared" si="233"/>
        <v>025</v>
      </c>
      <c r="B1989" s="4" t="s">
        <v>37</v>
      </c>
      <c r="C1989" s="4" t="str">
        <f>"舒羽琦"</f>
        <v>舒羽琦</v>
      </c>
      <c r="D1989" s="4" t="str">
        <f>"2021015121"</f>
        <v>2021015121</v>
      </c>
      <c r="E1989" s="4" t="str">
        <f t="shared" si="235"/>
        <v>51</v>
      </c>
      <c r="F1989" s="4" t="str">
        <f>"21"</f>
        <v>21</v>
      </c>
      <c r="G1989" s="4" t="s">
        <v>12</v>
      </c>
      <c r="H1989" s="5">
        <v>70</v>
      </c>
      <c r="I1989" s="4"/>
      <c r="J1989" s="4">
        <f>SUMPRODUCT(--((A1989=$A$3:$A$2785)*$H$3:$H$2785&gt;H1989))+1</f>
        <v>11</v>
      </c>
    </row>
    <row r="1990" s="1" customFormat="true" customHeight="true" spans="1:10">
      <c r="A1990" s="4" t="str">
        <f t="shared" si="233"/>
        <v>025</v>
      </c>
      <c r="B1990" s="4" t="s">
        <v>37</v>
      </c>
      <c r="C1990" s="4" t="str">
        <f>"蒋九如"</f>
        <v>蒋九如</v>
      </c>
      <c r="D1990" s="4" t="str">
        <f>"2021015127"</f>
        <v>2021015127</v>
      </c>
      <c r="E1990" s="4" t="str">
        <f t="shared" si="235"/>
        <v>51</v>
      </c>
      <c r="F1990" s="4" t="str">
        <f>"27"</f>
        <v>27</v>
      </c>
      <c r="G1990" s="4" t="s">
        <v>12</v>
      </c>
      <c r="H1990" s="5">
        <v>69.8</v>
      </c>
      <c r="I1990" s="4"/>
      <c r="J1990" s="4">
        <f>SUMPRODUCT(--((A1990=$A$3:$A$2785)*$H$3:$H$2785&gt;H1990))+1</f>
        <v>12</v>
      </c>
    </row>
    <row r="1991" s="1" customFormat="true" customHeight="true" spans="1:10">
      <c r="A1991" s="4" t="str">
        <f t="shared" si="233"/>
        <v>025</v>
      </c>
      <c r="B1991" s="4" t="s">
        <v>37</v>
      </c>
      <c r="C1991" s="4" t="str">
        <f>"张曼殊"</f>
        <v>张曼殊</v>
      </c>
      <c r="D1991" s="4" t="str">
        <f>"2021015125"</f>
        <v>2021015125</v>
      </c>
      <c r="E1991" s="4" t="str">
        <f t="shared" si="235"/>
        <v>51</v>
      </c>
      <c r="F1991" s="4" t="str">
        <f>"25"</f>
        <v>25</v>
      </c>
      <c r="G1991" s="4" t="s">
        <v>12</v>
      </c>
      <c r="H1991" s="5">
        <v>69.55</v>
      </c>
      <c r="I1991" s="4"/>
      <c r="J1991" s="4">
        <f>SUMPRODUCT(--((A1991=$A$3:$A$2785)*$H$3:$H$2785&gt;H1991))+1</f>
        <v>13</v>
      </c>
    </row>
    <row r="1992" s="1" customFormat="true" customHeight="true" spans="1:10">
      <c r="A1992" s="4" t="str">
        <f t="shared" si="233"/>
        <v>025</v>
      </c>
      <c r="B1992" s="4" t="s">
        <v>37</v>
      </c>
      <c r="C1992" s="4" t="str">
        <f>"李梦琴"</f>
        <v>李梦琴</v>
      </c>
      <c r="D1992" s="4" t="str">
        <f>"2021015120"</f>
        <v>2021015120</v>
      </c>
      <c r="E1992" s="4" t="str">
        <f t="shared" si="235"/>
        <v>51</v>
      </c>
      <c r="F1992" s="4" t="str">
        <f>"20"</f>
        <v>20</v>
      </c>
      <c r="G1992" s="4" t="s">
        <v>12</v>
      </c>
      <c r="H1992" s="5">
        <v>68.8</v>
      </c>
      <c r="I1992" s="4"/>
      <c r="J1992" s="4">
        <f>SUMPRODUCT(--((A1992=$A$3:$A$2785)*$H$3:$H$2785&gt;H1992))+1</f>
        <v>14</v>
      </c>
    </row>
    <row r="1993" s="1" customFormat="true" customHeight="true" spans="1:10">
      <c r="A1993" s="4" t="str">
        <f t="shared" si="233"/>
        <v>025</v>
      </c>
      <c r="B1993" s="4" t="s">
        <v>37</v>
      </c>
      <c r="C1993" s="4" t="str">
        <f>"彭慧娟"</f>
        <v>彭慧娟</v>
      </c>
      <c r="D1993" s="4" t="str">
        <f>"2021015206"</f>
        <v>2021015206</v>
      </c>
      <c r="E1993" s="4" t="str">
        <f>"52"</f>
        <v>52</v>
      </c>
      <c r="F1993" s="4" t="str">
        <f>"06"</f>
        <v>06</v>
      </c>
      <c r="G1993" s="4" t="s">
        <v>12</v>
      </c>
      <c r="H1993" s="5">
        <v>64.5</v>
      </c>
      <c r="I1993" s="4"/>
      <c r="J1993" s="4">
        <f>SUMPRODUCT(--((A1993=$A$3:$A$2785)*$H$3:$H$2785&gt;H1993))+1</f>
        <v>15</v>
      </c>
    </row>
    <row r="1994" s="1" customFormat="true" customHeight="true" spans="1:10">
      <c r="A1994" s="4" t="str">
        <f t="shared" si="233"/>
        <v>025</v>
      </c>
      <c r="B1994" s="4" t="s">
        <v>37</v>
      </c>
      <c r="C1994" s="4" t="str">
        <f>"冉雪芬"</f>
        <v>冉雪芬</v>
      </c>
      <c r="D1994" s="4" t="str">
        <f>"2021015103"</f>
        <v>2021015103</v>
      </c>
      <c r="E1994" s="4" t="str">
        <f t="shared" ref="E1994:E2011" si="236">"51"</f>
        <v>51</v>
      </c>
      <c r="F1994" s="4" t="str">
        <f>"03"</f>
        <v>03</v>
      </c>
      <c r="G1994" s="4" t="s">
        <v>12</v>
      </c>
      <c r="H1994" s="5">
        <v>63.3</v>
      </c>
      <c r="I1994" s="4"/>
      <c r="J1994" s="4">
        <f>SUMPRODUCT(--((A1994=$A$3:$A$2785)*$H$3:$H$2785&gt;H1994))+1</f>
        <v>16</v>
      </c>
    </row>
    <row r="1995" s="1" customFormat="true" customHeight="true" spans="1:10">
      <c r="A1995" s="4" t="str">
        <f t="shared" si="233"/>
        <v>025</v>
      </c>
      <c r="B1995" s="4" t="s">
        <v>37</v>
      </c>
      <c r="C1995" s="4" t="str">
        <f>"易娜"</f>
        <v>易娜</v>
      </c>
      <c r="D1995" s="4" t="str">
        <f>"2021015118"</f>
        <v>2021015118</v>
      </c>
      <c r="E1995" s="4" t="str">
        <f t="shared" si="236"/>
        <v>51</v>
      </c>
      <c r="F1995" s="4" t="str">
        <f>"18"</f>
        <v>18</v>
      </c>
      <c r="G1995" s="4" t="s">
        <v>12</v>
      </c>
      <c r="H1995" s="5">
        <v>63.3</v>
      </c>
      <c r="I1995" s="4"/>
      <c r="J1995" s="4">
        <f>SUMPRODUCT(--((A1995=$A$3:$A$2785)*$H$3:$H$2785&gt;H1995))+1</f>
        <v>16</v>
      </c>
    </row>
    <row r="1996" s="1" customFormat="true" customHeight="true" spans="1:10">
      <c r="A1996" s="4" t="str">
        <f t="shared" si="233"/>
        <v>025</v>
      </c>
      <c r="B1996" s="4" t="s">
        <v>37</v>
      </c>
      <c r="C1996" s="4" t="str">
        <f>"吴晨曦"</f>
        <v>吴晨曦</v>
      </c>
      <c r="D1996" s="4" t="str">
        <f>"2021015124"</f>
        <v>2021015124</v>
      </c>
      <c r="E1996" s="4" t="str">
        <f t="shared" si="236"/>
        <v>51</v>
      </c>
      <c r="F1996" s="4" t="str">
        <f>"24"</f>
        <v>24</v>
      </c>
      <c r="G1996" s="4" t="s">
        <v>12</v>
      </c>
      <c r="H1996" s="5">
        <v>61.9</v>
      </c>
      <c r="I1996" s="4"/>
      <c r="J1996" s="4">
        <f>SUMPRODUCT(--((A1996=$A$3:$A$2785)*$H$3:$H$2785&gt;H1996))+1</f>
        <v>18</v>
      </c>
    </row>
    <row r="1997" s="1" customFormat="true" customHeight="true" spans="1:10">
      <c r="A1997" s="4" t="str">
        <f t="shared" si="233"/>
        <v>025</v>
      </c>
      <c r="B1997" s="4" t="s">
        <v>37</v>
      </c>
      <c r="C1997" s="4" t="str">
        <f>"席琴琴"</f>
        <v>席琴琴</v>
      </c>
      <c r="D1997" s="4" t="str">
        <f>"2021015122"</f>
        <v>2021015122</v>
      </c>
      <c r="E1997" s="4" t="str">
        <f t="shared" si="236"/>
        <v>51</v>
      </c>
      <c r="F1997" s="4" t="str">
        <f>"22"</f>
        <v>22</v>
      </c>
      <c r="G1997" s="4" t="s">
        <v>12</v>
      </c>
      <c r="H1997" s="5">
        <v>60.65</v>
      </c>
      <c r="I1997" s="4"/>
      <c r="J1997" s="4">
        <f>SUMPRODUCT(--((A1997=$A$3:$A$2785)*$H$3:$H$2785&gt;H1997))+1</f>
        <v>19</v>
      </c>
    </row>
    <row r="1998" s="1" customFormat="true" customHeight="true" spans="1:10">
      <c r="A1998" s="4" t="str">
        <f t="shared" si="233"/>
        <v>025</v>
      </c>
      <c r="B1998" s="4" t="s">
        <v>37</v>
      </c>
      <c r="C1998" s="4" t="str">
        <f>"文爽"</f>
        <v>文爽</v>
      </c>
      <c r="D1998" s="4" t="str">
        <f>"2021015129"</f>
        <v>2021015129</v>
      </c>
      <c r="E1998" s="4" t="str">
        <f t="shared" si="236"/>
        <v>51</v>
      </c>
      <c r="F1998" s="4" t="str">
        <f>"29"</f>
        <v>29</v>
      </c>
      <c r="G1998" s="4" t="s">
        <v>12</v>
      </c>
      <c r="H1998" s="5">
        <v>57.5</v>
      </c>
      <c r="I1998" s="4"/>
      <c r="J1998" s="4">
        <f>SUMPRODUCT(--((A1998=$A$3:$A$2785)*$H$3:$H$2785&gt;H1998))+1</f>
        <v>20</v>
      </c>
    </row>
    <row r="1999" s="1" customFormat="true" customHeight="true" spans="1:10">
      <c r="A1999" s="4" t="str">
        <f t="shared" si="233"/>
        <v>025</v>
      </c>
      <c r="B1999" s="4" t="s">
        <v>37</v>
      </c>
      <c r="C1999" s="4" t="str">
        <f>"李梦林"</f>
        <v>李梦林</v>
      </c>
      <c r="D1999" s="4" t="str">
        <f>"2021015101"</f>
        <v>2021015101</v>
      </c>
      <c r="E1999" s="4" t="str">
        <f t="shared" si="236"/>
        <v>51</v>
      </c>
      <c r="F1999" s="4" t="str">
        <f>"01"</f>
        <v>01</v>
      </c>
      <c r="G1999" s="4" t="s">
        <v>12</v>
      </c>
      <c r="H1999" s="5">
        <v>0</v>
      </c>
      <c r="I1999" s="6" t="s">
        <v>13</v>
      </c>
      <c r="J1999" s="4">
        <f>SUMPRODUCT(--((A1999=$A$3:$A$2785)*$H$3:$H$2785&gt;H1999))+1</f>
        <v>21</v>
      </c>
    </row>
    <row r="2000" s="1" customFormat="true" customHeight="true" spans="1:10">
      <c r="A2000" s="4" t="str">
        <f t="shared" si="233"/>
        <v>025</v>
      </c>
      <c r="B2000" s="4" t="s">
        <v>37</v>
      </c>
      <c r="C2000" s="4" t="str">
        <f>"顾岚森"</f>
        <v>顾岚森</v>
      </c>
      <c r="D2000" s="4" t="str">
        <f>"2021015106"</f>
        <v>2021015106</v>
      </c>
      <c r="E2000" s="4" t="str">
        <f t="shared" si="236"/>
        <v>51</v>
      </c>
      <c r="F2000" s="4" t="str">
        <f>"06"</f>
        <v>06</v>
      </c>
      <c r="G2000" s="4" t="s">
        <v>12</v>
      </c>
      <c r="H2000" s="5">
        <v>0</v>
      </c>
      <c r="I2000" s="6" t="s">
        <v>13</v>
      </c>
      <c r="J2000" s="4">
        <f>SUMPRODUCT(--((A2000=$A$3:$A$2785)*$H$3:$H$2785&gt;H2000))+1</f>
        <v>21</v>
      </c>
    </row>
    <row r="2001" s="1" customFormat="true" customHeight="true" spans="1:10">
      <c r="A2001" s="4" t="str">
        <f t="shared" si="233"/>
        <v>025</v>
      </c>
      <c r="B2001" s="4" t="s">
        <v>37</v>
      </c>
      <c r="C2001" s="4" t="str">
        <f>"唐玲珠"</f>
        <v>唐玲珠</v>
      </c>
      <c r="D2001" s="4" t="str">
        <f>"2021015108"</f>
        <v>2021015108</v>
      </c>
      <c r="E2001" s="4" t="str">
        <f t="shared" si="236"/>
        <v>51</v>
      </c>
      <c r="F2001" s="4" t="str">
        <f>"08"</f>
        <v>08</v>
      </c>
      <c r="G2001" s="4" t="s">
        <v>12</v>
      </c>
      <c r="H2001" s="5">
        <v>0</v>
      </c>
      <c r="I2001" s="6" t="s">
        <v>13</v>
      </c>
      <c r="J2001" s="4">
        <f>SUMPRODUCT(--((A2001=$A$3:$A$2785)*$H$3:$H$2785&gt;H2001))+1</f>
        <v>21</v>
      </c>
    </row>
    <row r="2002" s="1" customFormat="true" customHeight="true" spans="1:10">
      <c r="A2002" s="4" t="str">
        <f t="shared" si="233"/>
        <v>025</v>
      </c>
      <c r="B2002" s="4" t="s">
        <v>37</v>
      </c>
      <c r="C2002" s="4" t="str">
        <f>"胡春梦"</f>
        <v>胡春梦</v>
      </c>
      <c r="D2002" s="4" t="str">
        <f>"2021015109"</f>
        <v>2021015109</v>
      </c>
      <c r="E2002" s="4" t="str">
        <f t="shared" si="236"/>
        <v>51</v>
      </c>
      <c r="F2002" s="4" t="str">
        <f>"09"</f>
        <v>09</v>
      </c>
      <c r="G2002" s="4" t="s">
        <v>12</v>
      </c>
      <c r="H2002" s="5">
        <v>0</v>
      </c>
      <c r="I2002" s="6" t="s">
        <v>13</v>
      </c>
      <c r="J2002" s="4">
        <f>SUMPRODUCT(--((A2002=$A$3:$A$2785)*$H$3:$H$2785&gt;H2002))+1</f>
        <v>21</v>
      </c>
    </row>
    <row r="2003" s="1" customFormat="true" customHeight="true" spans="1:10">
      <c r="A2003" s="4" t="str">
        <f t="shared" si="233"/>
        <v>025</v>
      </c>
      <c r="B2003" s="4" t="s">
        <v>37</v>
      </c>
      <c r="C2003" s="4" t="str">
        <f>"刘传"</f>
        <v>刘传</v>
      </c>
      <c r="D2003" s="4" t="str">
        <f>"2021015111"</f>
        <v>2021015111</v>
      </c>
      <c r="E2003" s="4" t="str">
        <f t="shared" si="236"/>
        <v>51</v>
      </c>
      <c r="F2003" s="4" t="str">
        <f>"11"</f>
        <v>11</v>
      </c>
      <c r="G2003" s="4" t="s">
        <v>12</v>
      </c>
      <c r="H2003" s="5">
        <v>0</v>
      </c>
      <c r="I2003" s="6" t="s">
        <v>13</v>
      </c>
      <c r="J2003" s="4">
        <f>SUMPRODUCT(--((A2003=$A$3:$A$2785)*$H$3:$H$2785&gt;H2003))+1</f>
        <v>21</v>
      </c>
    </row>
    <row r="2004" s="1" customFormat="true" customHeight="true" spans="1:10">
      <c r="A2004" s="4" t="str">
        <f t="shared" si="233"/>
        <v>025</v>
      </c>
      <c r="B2004" s="4" t="s">
        <v>37</v>
      </c>
      <c r="C2004" s="4" t="str">
        <f>"孙卫婷"</f>
        <v>孙卫婷</v>
      </c>
      <c r="D2004" s="4" t="str">
        <f>"2021015112"</f>
        <v>2021015112</v>
      </c>
      <c r="E2004" s="4" t="str">
        <f t="shared" si="236"/>
        <v>51</v>
      </c>
      <c r="F2004" s="4" t="str">
        <f>"12"</f>
        <v>12</v>
      </c>
      <c r="G2004" s="4" t="s">
        <v>12</v>
      </c>
      <c r="H2004" s="5">
        <v>0</v>
      </c>
      <c r="I2004" s="6" t="s">
        <v>13</v>
      </c>
      <c r="J2004" s="4">
        <f>SUMPRODUCT(--((A2004=$A$3:$A$2785)*$H$3:$H$2785&gt;H2004))+1</f>
        <v>21</v>
      </c>
    </row>
    <row r="2005" s="1" customFormat="true" customHeight="true" spans="1:10">
      <c r="A2005" s="4" t="str">
        <f t="shared" si="233"/>
        <v>025</v>
      </c>
      <c r="B2005" s="4" t="s">
        <v>37</v>
      </c>
      <c r="C2005" s="4" t="str">
        <f>"卢志宏"</f>
        <v>卢志宏</v>
      </c>
      <c r="D2005" s="4" t="str">
        <f>"2021015113"</f>
        <v>2021015113</v>
      </c>
      <c r="E2005" s="4" t="str">
        <f t="shared" si="236"/>
        <v>51</v>
      </c>
      <c r="F2005" s="4" t="str">
        <f>"13"</f>
        <v>13</v>
      </c>
      <c r="G2005" s="4" t="s">
        <v>12</v>
      </c>
      <c r="H2005" s="5">
        <v>0</v>
      </c>
      <c r="I2005" s="6" t="s">
        <v>13</v>
      </c>
      <c r="J2005" s="4">
        <f>SUMPRODUCT(--((A2005=$A$3:$A$2785)*$H$3:$H$2785&gt;H2005))+1</f>
        <v>21</v>
      </c>
    </row>
    <row r="2006" s="1" customFormat="true" customHeight="true" spans="1:10">
      <c r="A2006" s="4" t="str">
        <f t="shared" si="233"/>
        <v>025</v>
      </c>
      <c r="B2006" s="4" t="s">
        <v>37</v>
      </c>
      <c r="C2006" s="4" t="str">
        <f>"陈滚"</f>
        <v>陈滚</v>
      </c>
      <c r="D2006" s="4" t="str">
        <f>"2021015114"</f>
        <v>2021015114</v>
      </c>
      <c r="E2006" s="4" t="str">
        <f t="shared" si="236"/>
        <v>51</v>
      </c>
      <c r="F2006" s="4" t="str">
        <f>"14"</f>
        <v>14</v>
      </c>
      <c r="G2006" s="4" t="s">
        <v>12</v>
      </c>
      <c r="H2006" s="5">
        <v>0</v>
      </c>
      <c r="I2006" s="6" t="s">
        <v>13</v>
      </c>
      <c r="J2006" s="4">
        <f>SUMPRODUCT(--((A2006=$A$3:$A$2785)*$H$3:$H$2785&gt;H2006))+1</f>
        <v>21</v>
      </c>
    </row>
    <row r="2007" s="1" customFormat="true" customHeight="true" spans="1:10">
      <c r="A2007" s="4" t="str">
        <f t="shared" si="233"/>
        <v>025</v>
      </c>
      <c r="B2007" s="4" t="s">
        <v>37</v>
      </c>
      <c r="C2007" s="4" t="str">
        <f>"刘清华"</f>
        <v>刘清华</v>
      </c>
      <c r="D2007" s="4" t="str">
        <f>"2021015115"</f>
        <v>2021015115</v>
      </c>
      <c r="E2007" s="4" t="str">
        <f t="shared" si="236"/>
        <v>51</v>
      </c>
      <c r="F2007" s="4" t="str">
        <f>"15"</f>
        <v>15</v>
      </c>
      <c r="G2007" s="4" t="s">
        <v>12</v>
      </c>
      <c r="H2007" s="5">
        <v>0</v>
      </c>
      <c r="I2007" s="6" t="s">
        <v>13</v>
      </c>
      <c r="J2007" s="4">
        <f>SUMPRODUCT(--((A2007=$A$3:$A$2785)*$H$3:$H$2785&gt;H2007))+1</f>
        <v>21</v>
      </c>
    </row>
    <row r="2008" s="1" customFormat="true" customHeight="true" spans="1:10">
      <c r="A2008" s="4" t="str">
        <f t="shared" si="233"/>
        <v>025</v>
      </c>
      <c r="B2008" s="4" t="s">
        <v>37</v>
      </c>
      <c r="C2008" s="4" t="str">
        <f>"王琛"</f>
        <v>王琛</v>
      </c>
      <c r="D2008" s="4" t="str">
        <f>"2021015123"</f>
        <v>2021015123</v>
      </c>
      <c r="E2008" s="4" t="str">
        <f t="shared" si="236"/>
        <v>51</v>
      </c>
      <c r="F2008" s="4" t="str">
        <f>"23"</f>
        <v>23</v>
      </c>
      <c r="G2008" s="4" t="s">
        <v>12</v>
      </c>
      <c r="H2008" s="5">
        <v>0</v>
      </c>
      <c r="I2008" s="6" t="s">
        <v>13</v>
      </c>
      <c r="J2008" s="4">
        <f>SUMPRODUCT(--((A2008=$A$3:$A$2785)*$H$3:$H$2785&gt;H2008))+1</f>
        <v>21</v>
      </c>
    </row>
    <row r="2009" s="1" customFormat="true" customHeight="true" spans="1:10">
      <c r="A2009" s="4" t="str">
        <f t="shared" si="233"/>
        <v>025</v>
      </c>
      <c r="B2009" s="4" t="s">
        <v>37</v>
      </c>
      <c r="C2009" s="4" t="str">
        <f>"李述林"</f>
        <v>李述林</v>
      </c>
      <c r="D2009" s="4" t="str">
        <f>"2021015126"</f>
        <v>2021015126</v>
      </c>
      <c r="E2009" s="4" t="str">
        <f t="shared" si="236"/>
        <v>51</v>
      </c>
      <c r="F2009" s="4" t="str">
        <f>"26"</f>
        <v>26</v>
      </c>
      <c r="G2009" s="4" t="s">
        <v>12</v>
      </c>
      <c r="H2009" s="5">
        <v>0</v>
      </c>
      <c r="I2009" s="6" t="s">
        <v>13</v>
      </c>
      <c r="J2009" s="4">
        <f>SUMPRODUCT(--((A2009=$A$3:$A$2785)*$H$3:$H$2785&gt;H2009))+1</f>
        <v>21</v>
      </c>
    </row>
    <row r="2010" s="1" customFormat="true" customHeight="true" spans="1:10">
      <c r="A2010" s="4" t="str">
        <f t="shared" si="233"/>
        <v>025</v>
      </c>
      <c r="B2010" s="4" t="s">
        <v>37</v>
      </c>
      <c r="C2010" s="4" t="str">
        <f>"郭秋月"</f>
        <v>郭秋月</v>
      </c>
      <c r="D2010" s="4" t="str">
        <f>"2021015128"</f>
        <v>2021015128</v>
      </c>
      <c r="E2010" s="4" t="str">
        <f t="shared" si="236"/>
        <v>51</v>
      </c>
      <c r="F2010" s="4" t="str">
        <f>"28"</f>
        <v>28</v>
      </c>
      <c r="G2010" s="4" t="s">
        <v>12</v>
      </c>
      <c r="H2010" s="5">
        <v>0</v>
      </c>
      <c r="I2010" s="6" t="s">
        <v>13</v>
      </c>
      <c r="J2010" s="4">
        <f>SUMPRODUCT(--((A2010=$A$3:$A$2785)*$H$3:$H$2785&gt;H2010))+1</f>
        <v>21</v>
      </c>
    </row>
    <row r="2011" s="1" customFormat="true" customHeight="true" spans="1:10">
      <c r="A2011" s="4" t="str">
        <f t="shared" si="233"/>
        <v>025</v>
      </c>
      <c r="B2011" s="4" t="s">
        <v>37</v>
      </c>
      <c r="C2011" s="4" t="str">
        <f>"陈琼"</f>
        <v>陈琼</v>
      </c>
      <c r="D2011" s="4" t="str">
        <f>"2021015130"</f>
        <v>2021015130</v>
      </c>
      <c r="E2011" s="4" t="str">
        <f t="shared" si="236"/>
        <v>51</v>
      </c>
      <c r="F2011" s="4" t="str">
        <f>"30"</f>
        <v>30</v>
      </c>
      <c r="G2011" s="4" t="s">
        <v>12</v>
      </c>
      <c r="H2011" s="5">
        <v>0</v>
      </c>
      <c r="I2011" s="6" t="s">
        <v>13</v>
      </c>
      <c r="J2011" s="4">
        <f>SUMPRODUCT(--((A2011=$A$3:$A$2785)*$H$3:$H$2785&gt;H2011))+1</f>
        <v>21</v>
      </c>
    </row>
    <row r="2012" s="1" customFormat="true" customHeight="true" spans="1:10">
      <c r="A2012" s="4" t="str">
        <f t="shared" si="233"/>
        <v>025</v>
      </c>
      <c r="B2012" s="4" t="s">
        <v>37</v>
      </c>
      <c r="C2012" s="4" t="str">
        <f>"袁楚昊"</f>
        <v>袁楚昊</v>
      </c>
      <c r="D2012" s="4" t="str">
        <f>"2021015202"</f>
        <v>2021015202</v>
      </c>
      <c r="E2012" s="4" t="str">
        <f t="shared" ref="E2012:E2014" si="237">"52"</f>
        <v>52</v>
      </c>
      <c r="F2012" s="4" t="str">
        <f>"02"</f>
        <v>02</v>
      </c>
      <c r="G2012" s="4" t="s">
        <v>12</v>
      </c>
      <c r="H2012" s="5">
        <v>0</v>
      </c>
      <c r="I2012" s="6" t="s">
        <v>13</v>
      </c>
      <c r="J2012" s="4">
        <f>SUMPRODUCT(--((A2012=$A$3:$A$2785)*$H$3:$H$2785&gt;H2012))+1</f>
        <v>21</v>
      </c>
    </row>
    <row r="2013" s="1" customFormat="true" customHeight="true" spans="1:10">
      <c r="A2013" s="4" t="str">
        <f t="shared" si="233"/>
        <v>025</v>
      </c>
      <c r="B2013" s="4" t="s">
        <v>37</v>
      </c>
      <c r="C2013" s="4" t="str">
        <f>"杨燕飞"</f>
        <v>杨燕飞</v>
      </c>
      <c r="D2013" s="4" t="str">
        <f>"2021015203"</f>
        <v>2021015203</v>
      </c>
      <c r="E2013" s="4" t="str">
        <f t="shared" si="237"/>
        <v>52</v>
      </c>
      <c r="F2013" s="4" t="str">
        <f>"03"</f>
        <v>03</v>
      </c>
      <c r="G2013" s="4" t="s">
        <v>12</v>
      </c>
      <c r="H2013" s="5">
        <v>0</v>
      </c>
      <c r="I2013" s="6" t="s">
        <v>13</v>
      </c>
      <c r="J2013" s="4">
        <f>SUMPRODUCT(--((A2013=$A$3:$A$2785)*$H$3:$H$2785&gt;H2013))+1</f>
        <v>21</v>
      </c>
    </row>
    <row r="2014" s="1" customFormat="true" customHeight="true" spans="1:10">
      <c r="A2014" s="4" t="str">
        <f t="shared" si="233"/>
        <v>025</v>
      </c>
      <c r="B2014" s="4" t="s">
        <v>37</v>
      </c>
      <c r="C2014" s="4" t="str">
        <f>"欧阳小燕"</f>
        <v>欧阳小燕</v>
      </c>
      <c r="D2014" s="4" t="str">
        <f>"2021015205"</f>
        <v>2021015205</v>
      </c>
      <c r="E2014" s="4" t="str">
        <f t="shared" si="237"/>
        <v>52</v>
      </c>
      <c r="F2014" s="4" t="str">
        <f>"05"</f>
        <v>05</v>
      </c>
      <c r="G2014" s="4" t="s">
        <v>12</v>
      </c>
      <c r="H2014" s="5">
        <v>0</v>
      </c>
      <c r="I2014" s="6" t="s">
        <v>13</v>
      </c>
      <c r="J2014" s="4">
        <f>SUMPRODUCT(--((A2014=$A$3:$A$2785)*$H$3:$H$2785&gt;H2014))+1</f>
        <v>21</v>
      </c>
    </row>
    <row r="2015" s="1" customFormat="true" customHeight="true" spans="1:10">
      <c r="A2015" s="4" t="str">
        <f t="shared" ref="A2015:A2050" si="238">"026"</f>
        <v>026</v>
      </c>
      <c r="B2015" s="4" t="s">
        <v>38</v>
      </c>
      <c r="C2015" s="4" t="str">
        <f>"杨玲"</f>
        <v>杨玲</v>
      </c>
      <c r="D2015" s="4" t="str">
        <f>"2021020603"</f>
        <v>2021020603</v>
      </c>
      <c r="E2015" s="4" t="str">
        <f t="shared" ref="E2015:E2021" si="239">"06"</f>
        <v>06</v>
      </c>
      <c r="F2015" s="4" t="str">
        <f>"03"</f>
        <v>03</v>
      </c>
      <c r="G2015" s="4" t="s">
        <v>27</v>
      </c>
      <c r="H2015" s="5">
        <v>72.1</v>
      </c>
      <c r="I2015" s="4"/>
      <c r="J2015" s="4">
        <f>SUMPRODUCT(--((A2015=$A$3:$A$2785)*$H$3:$H$2785&gt;H2015))+1</f>
        <v>1</v>
      </c>
    </row>
    <row r="2016" s="1" customFormat="true" customHeight="true" spans="1:10">
      <c r="A2016" s="4" t="str">
        <f t="shared" si="238"/>
        <v>026</v>
      </c>
      <c r="B2016" s="4" t="s">
        <v>38</v>
      </c>
      <c r="C2016" s="4" t="str">
        <f>"张怡帆"</f>
        <v>张怡帆</v>
      </c>
      <c r="D2016" s="4" t="str">
        <f>"2021020528"</f>
        <v>2021020528</v>
      </c>
      <c r="E2016" s="4" t="str">
        <f>"05"</f>
        <v>05</v>
      </c>
      <c r="F2016" s="4" t="str">
        <f>"28"</f>
        <v>28</v>
      </c>
      <c r="G2016" s="4" t="s">
        <v>27</v>
      </c>
      <c r="H2016" s="5">
        <v>65.8</v>
      </c>
      <c r="I2016" s="4"/>
      <c r="J2016" s="4">
        <f>SUMPRODUCT(--((A2016=$A$3:$A$2785)*$H$3:$H$2785&gt;H2016))+1</f>
        <v>2</v>
      </c>
    </row>
    <row r="2017" s="1" customFormat="true" customHeight="true" spans="1:10">
      <c r="A2017" s="4" t="str">
        <f t="shared" si="238"/>
        <v>026</v>
      </c>
      <c r="B2017" s="4" t="s">
        <v>38</v>
      </c>
      <c r="C2017" s="4" t="str">
        <f>"田双润"</f>
        <v>田双润</v>
      </c>
      <c r="D2017" s="4" t="str">
        <f>"2021020519"</f>
        <v>2021020519</v>
      </c>
      <c r="E2017" s="4" t="str">
        <f>"05"</f>
        <v>05</v>
      </c>
      <c r="F2017" s="4" t="str">
        <f>"19"</f>
        <v>19</v>
      </c>
      <c r="G2017" s="4" t="s">
        <v>27</v>
      </c>
      <c r="H2017" s="5">
        <v>65</v>
      </c>
      <c r="I2017" s="4"/>
      <c r="J2017" s="4">
        <f>SUMPRODUCT(--((A2017=$A$3:$A$2785)*$H$3:$H$2785&gt;H2017))+1</f>
        <v>3</v>
      </c>
    </row>
    <row r="2018" s="1" customFormat="true" customHeight="true" spans="1:10">
      <c r="A2018" s="4" t="str">
        <f t="shared" si="238"/>
        <v>026</v>
      </c>
      <c r="B2018" s="4" t="s">
        <v>38</v>
      </c>
      <c r="C2018" s="4" t="str">
        <f>"田慧生"</f>
        <v>田慧生</v>
      </c>
      <c r="D2018" s="4" t="str">
        <f>"2021020612"</f>
        <v>2021020612</v>
      </c>
      <c r="E2018" s="4" t="str">
        <f t="shared" si="239"/>
        <v>06</v>
      </c>
      <c r="F2018" s="4" t="str">
        <f>"12"</f>
        <v>12</v>
      </c>
      <c r="G2018" s="4" t="s">
        <v>27</v>
      </c>
      <c r="H2018" s="5">
        <v>64.45</v>
      </c>
      <c r="I2018" s="4"/>
      <c r="J2018" s="4">
        <f>SUMPRODUCT(--((A2018=$A$3:$A$2785)*$H$3:$H$2785&gt;H2018))+1</f>
        <v>4</v>
      </c>
    </row>
    <row r="2019" s="1" customFormat="true" customHeight="true" spans="1:10">
      <c r="A2019" s="4" t="str">
        <f t="shared" si="238"/>
        <v>026</v>
      </c>
      <c r="B2019" s="4" t="s">
        <v>38</v>
      </c>
      <c r="C2019" s="4" t="str">
        <f>"唐群惠"</f>
        <v>唐群惠</v>
      </c>
      <c r="D2019" s="4" t="str">
        <f>"2021020609"</f>
        <v>2021020609</v>
      </c>
      <c r="E2019" s="4" t="str">
        <f t="shared" si="239"/>
        <v>06</v>
      </c>
      <c r="F2019" s="4" t="str">
        <f>"09"</f>
        <v>09</v>
      </c>
      <c r="G2019" s="4" t="s">
        <v>27</v>
      </c>
      <c r="H2019" s="5">
        <v>64.15</v>
      </c>
      <c r="I2019" s="4"/>
      <c r="J2019" s="4">
        <f>SUMPRODUCT(--((A2019=$A$3:$A$2785)*$H$3:$H$2785&gt;H2019))+1</f>
        <v>5</v>
      </c>
    </row>
    <row r="2020" s="1" customFormat="true" customHeight="true" spans="1:10">
      <c r="A2020" s="4" t="str">
        <f t="shared" si="238"/>
        <v>026</v>
      </c>
      <c r="B2020" s="4" t="s">
        <v>38</v>
      </c>
      <c r="C2020" s="4" t="str">
        <f>"黄芝君"</f>
        <v>黄芝君</v>
      </c>
      <c r="D2020" s="4" t="str">
        <f>"2021020613"</f>
        <v>2021020613</v>
      </c>
      <c r="E2020" s="4" t="str">
        <f t="shared" si="239"/>
        <v>06</v>
      </c>
      <c r="F2020" s="4" t="str">
        <f>"13"</f>
        <v>13</v>
      </c>
      <c r="G2020" s="4" t="s">
        <v>27</v>
      </c>
      <c r="H2020" s="5">
        <v>63.85</v>
      </c>
      <c r="I2020" s="4"/>
      <c r="J2020" s="4">
        <f>SUMPRODUCT(--((A2020=$A$3:$A$2785)*$H$3:$H$2785&gt;H2020))+1</f>
        <v>6</v>
      </c>
    </row>
    <row r="2021" s="1" customFormat="true" customHeight="true" spans="1:10">
      <c r="A2021" s="4" t="str">
        <f t="shared" si="238"/>
        <v>026</v>
      </c>
      <c r="B2021" s="4" t="s">
        <v>38</v>
      </c>
      <c r="C2021" s="4" t="str">
        <f>"马静"</f>
        <v>马静</v>
      </c>
      <c r="D2021" s="4" t="str">
        <f>"2021020604"</f>
        <v>2021020604</v>
      </c>
      <c r="E2021" s="4" t="str">
        <f t="shared" si="239"/>
        <v>06</v>
      </c>
      <c r="F2021" s="4" t="str">
        <f>"04"</f>
        <v>04</v>
      </c>
      <c r="G2021" s="4" t="s">
        <v>27</v>
      </c>
      <c r="H2021" s="5">
        <v>62.5</v>
      </c>
      <c r="I2021" s="4"/>
      <c r="J2021" s="4">
        <f>SUMPRODUCT(--((A2021=$A$3:$A$2785)*$H$3:$H$2785&gt;H2021))+1</f>
        <v>7</v>
      </c>
    </row>
    <row r="2022" s="1" customFormat="true" customHeight="true" spans="1:10">
      <c r="A2022" s="4" t="str">
        <f t="shared" si="238"/>
        <v>026</v>
      </c>
      <c r="B2022" s="4" t="s">
        <v>38</v>
      </c>
      <c r="C2022" s="4" t="str">
        <f>"杨吕"</f>
        <v>杨吕</v>
      </c>
      <c r="D2022" s="4" t="str">
        <f>"2021020510"</f>
        <v>2021020510</v>
      </c>
      <c r="E2022" s="4" t="str">
        <f t="shared" ref="E2022:E2024" si="240">"05"</f>
        <v>05</v>
      </c>
      <c r="F2022" s="4" t="str">
        <f>"10"</f>
        <v>10</v>
      </c>
      <c r="G2022" s="4" t="s">
        <v>27</v>
      </c>
      <c r="H2022" s="5">
        <v>61.7</v>
      </c>
      <c r="I2022" s="4"/>
      <c r="J2022" s="4">
        <f>SUMPRODUCT(--((A2022=$A$3:$A$2785)*$H$3:$H$2785&gt;H2022))+1</f>
        <v>8</v>
      </c>
    </row>
    <row r="2023" s="1" customFormat="true" customHeight="true" spans="1:10">
      <c r="A2023" s="4" t="str">
        <f t="shared" si="238"/>
        <v>026</v>
      </c>
      <c r="B2023" s="4" t="s">
        <v>38</v>
      </c>
      <c r="C2023" s="4" t="str">
        <f>"杨蕙萍"</f>
        <v>杨蕙萍</v>
      </c>
      <c r="D2023" s="4" t="str">
        <f>"2021020512"</f>
        <v>2021020512</v>
      </c>
      <c r="E2023" s="4" t="str">
        <f t="shared" si="240"/>
        <v>05</v>
      </c>
      <c r="F2023" s="4" t="str">
        <f>"12"</f>
        <v>12</v>
      </c>
      <c r="G2023" s="4" t="s">
        <v>27</v>
      </c>
      <c r="H2023" s="5">
        <v>61</v>
      </c>
      <c r="I2023" s="4"/>
      <c r="J2023" s="4">
        <f>SUMPRODUCT(--((A2023=$A$3:$A$2785)*$H$3:$H$2785&gt;H2023))+1</f>
        <v>9</v>
      </c>
    </row>
    <row r="2024" s="1" customFormat="true" customHeight="true" spans="1:10">
      <c r="A2024" s="4" t="str">
        <f t="shared" si="238"/>
        <v>026</v>
      </c>
      <c r="B2024" s="4" t="s">
        <v>38</v>
      </c>
      <c r="C2024" s="4" t="str">
        <f>"王颖"</f>
        <v>王颖</v>
      </c>
      <c r="D2024" s="4" t="str">
        <f>"2021020522"</f>
        <v>2021020522</v>
      </c>
      <c r="E2024" s="4" t="str">
        <f t="shared" si="240"/>
        <v>05</v>
      </c>
      <c r="F2024" s="4" t="str">
        <f>"22"</f>
        <v>22</v>
      </c>
      <c r="G2024" s="4" t="s">
        <v>27</v>
      </c>
      <c r="H2024" s="5">
        <v>60.6</v>
      </c>
      <c r="I2024" s="4"/>
      <c r="J2024" s="4">
        <f>SUMPRODUCT(--((A2024=$A$3:$A$2785)*$H$3:$H$2785&gt;H2024))+1</f>
        <v>10</v>
      </c>
    </row>
    <row r="2025" s="1" customFormat="true" customHeight="true" spans="1:10">
      <c r="A2025" s="4" t="str">
        <f t="shared" si="238"/>
        <v>026</v>
      </c>
      <c r="B2025" s="4" t="s">
        <v>38</v>
      </c>
      <c r="C2025" s="4" t="str">
        <f>"滕艳霞"</f>
        <v>滕艳霞</v>
      </c>
      <c r="D2025" s="4" t="str">
        <f>"2021020606"</f>
        <v>2021020606</v>
      </c>
      <c r="E2025" s="4" t="str">
        <f>"06"</f>
        <v>06</v>
      </c>
      <c r="F2025" s="4" t="str">
        <f>"06"</f>
        <v>06</v>
      </c>
      <c r="G2025" s="4" t="s">
        <v>27</v>
      </c>
      <c r="H2025" s="5">
        <v>59.35</v>
      </c>
      <c r="I2025" s="4"/>
      <c r="J2025" s="4">
        <f>SUMPRODUCT(--((A2025=$A$3:$A$2785)*$H$3:$H$2785&gt;H2025))+1</f>
        <v>11</v>
      </c>
    </row>
    <row r="2026" s="1" customFormat="true" customHeight="true" spans="1:10">
      <c r="A2026" s="4" t="str">
        <f t="shared" si="238"/>
        <v>026</v>
      </c>
      <c r="B2026" s="4" t="s">
        <v>38</v>
      </c>
      <c r="C2026" s="4" t="str">
        <f>"潘启铖"</f>
        <v>潘启铖</v>
      </c>
      <c r="D2026" s="4" t="str">
        <f>"2021020529"</f>
        <v>2021020529</v>
      </c>
      <c r="E2026" s="4" t="str">
        <f t="shared" ref="E2026:E2044" si="241">"05"</f>
        <v>05</v>
      </c>
      <c r="F2026" s="4" t="str">
        <f>"29"</f>
        <v>29</v>
      </c>
      <c r="G2026" s="4" t="s">
        <v>27</v>
      </c>
      <c r="H2026" s="5">
        <v>55.55</v>
      </c>
      <c r="I2026" s="4"/>
      <c r="J2026" s="4">
        <f>SUMPRODUCT(--((A2026=$A$3:$A$2785)*$H$3:$H$2785&gt;H2026))+1</f>
        <v>12</v>
      </c>
    </row>
    <row r="2027" s="1" customFormat="true" customHeight="true" spans="1:10">
      <c r="A2027" s="4" t="str">
        <f t="shared" si="238"/>
        <v>026</v>
      </c>
      <c r="B2027" s="4" t="s">
        <v>38</v>
      </c>
      <c r="C2027" s="4" t="str">
        <f>"田柳"</f>
        <v>田柳</v>
      </c>
      <c r="D2027" s="4" t="str">
        <f>"2021020608"</f>
        <v>2021020608</v>
      </c>
      <c r="E2027" s="4" t="str">
        <f>"06"</f>
        <v>06</v>
      </c>
      <c r="F2027" s="4" t="str">
        <f>"08"</f>
        <v>08</v>
      </c>
      <c r="G2027" s="4" t="s">
        <v>27</v>
      </c>
      <c r="H2027" s="5">
        <v>53.75</v>
      </c>
      <c r="I2027" s="4"/>
      <c r="J2027" s="4">
        <f>SUMPRODUCT(--((A2027=$A$3:$A$2785)*$H$3:$H$2785&gt;H2027))+1</f>
        <v>13</v>
      </c>
    </row>
    <row r="2028" s="1" customFormat="true" customHeight="true" spans="1:10">
      <c r="A2028" s="4" t="str">
        <f t="shared" si="238"/>
        <v>026</v>
      </c>
      <c r="B2028" s="4" t="s">
        <v>38</v>
      </c>
      <c r="C2028" s="4" t="str">
        <f>"杨官利"</f>
        <v>杨官利</v>
      </c>
      <c r="D2028" s="4" t="str">
        <f>"2021020511"</f>
        <v>2021020511</v>
      </c>
      <c r="E2028" s="4" t="str">
        <f t="shared" si="241"/>
        <v>05</v>
      </c>
      <c r="F2028" s="4" t="str">
        <f>"11"</f>
        <v>11</v>
      </c>
      <c r="G2028" s="4" t="s">
        <v>27</v>
      </c>
      <c r="H2028" s="5">
        <v>49.45</v>
      </c>
      <c r="I2028" s="4"/>
      <c r="J2028" s="4">
        <f>SUMPRODUCT(--((A2028=$A$3:$A$2785)*$H$3:$H$2785&gt;H2028))+1</f>
        <v>14</v>
      </c>
    </row>
    <row r="2029" s="1" customFormat="true" customHeight="true" spans="1:10">
      <c r="A2029" s="4" t="str">
        <f t="shared" si="238"/>
        <v>026</v>
      </c>
      <c r="B2029" s="4" t="s">
        <v>38</v>
      </c>
      <c r="C2029" s="4" t="str">
        <f>"陈璨"</f>
        <v>陈璨</v>
      </c>
      <c r="D2029" s="4" t="str">
        <f>"2021020530"</f>
        <v>2021020530</v>
      </c>
      <c r="E2029" s="4" t="str">
        <f t="shared" si="241"/>
        <v>05</v>
      </c>
      <c r="F2029" s="4" t="str">
        <f>"30"</f>
        <v>30</v>
      </c>
      <c r="G2029" s="4" t="s">
        <v>27</v>
      </c>
      <c r="H2029" s="5">
        <v>49.4</v>
      </c>
      <c r="I2029" s="4"/>
      <c r="J2029" s="4">
        <f>SUMPRODUCT(--((A2029=$A$3:$A$2785)*$H$3:$H$2785&gt;H2029))+1</f>
        <v>15</v>
      </c>
    </row>
    <row r="2030" s="1" customFormat="true" customHeight="true" spans="1:10">
      <c r="A2030" s="4" t="str">
        <f t="shared" si="238"/>
        <v>026</v>
      </c>
      <c r="B2030" s="4" t="s">
        <v>38</v>
      </c>
      <c r="C2030" s="4" t="str">
        <f>"杨小芳"</f>
        <v>杨小芳</v>
      </c>
      <c r="D2030" s="4" t="str">
        <f>"2021020508"</f>
        <v>2021020508</v>
      </c>
      <c r="E2030" s="4" t="str">
        <f t="shared" si="241"/>
        <v>05</v>
      </c>
      <c r="F2030" s="4" t="str">
        <f>"08"</f>
        <v>08</v>
      </c>
      <c r="G2030" s="4" t="s">
        <v>27</v>
      </c>
      <c r="H2030" s="5">
        <v>0</v>
      </c>
      <c r="I2030" s="6" t="s">
        <v>13</v>
      </c>
      <c r="J2030" s="4">
        <f>SUMPRODUCT(--((A2030=$A$3:$A$2785)*$H$3:$H$2785&gt;H2030))+1</f>
        <v>16</v>
      </c>
    </row>
    <row r="2031" s="1" customFormat="true" customHeight="true" spans="1:10">
      <c r="A2031" s="4" t="str">
        <f t="shared" si="238"/>
        <v>026</v>
      </c>
      <c r="B2031" s="4" t="s">
        <v>38</v>
      </c>
      <c r="C2031" s="4" t="str">
        <f>"刘佳鑫"</f>
        <v>刘佳鑫</v>
      </c>
      <c r="D2031" s="4" t="str">
        <f>"2021020509"</f>
        <v>2021020509</v>
      </c>
      <c r="E2031" s="4" t="str">
        <f t="shared" si="241"/>
        <v>05</v>
      </c>
      <c r="F2031" s="4" t="str">
        <f>"09"</f>
        <v>09</v>
      </c>
      <c r="G2031" s="4" t="s">
        <v>27</v>
      </c>
      <c r="H2031" s="5">
        <v>0</v>
      </c>
      <c r="I2031" s="6" t="s">
        <v>13</v>
      </c>
      <c r="J2031" s="4">
        <f>SUMPRODUCT(--((A2031=$A$3:$A$2785)*$H$3:$H$2785&gt;H2031))+1</f>
        <v>16</v>
      </c>
    </row>
    <row r="2032" s="1" customFormat="true" customHeight="true" spans="1:10">
      <c r="A2032" s="4" t="str">
        <f t="shared" si="238"/>
        <v>026</v>
      </c>
      <c r="B2032" s="4" t="s">
        <v>38</v>
      </c>
      <c r="C2032" s="4" t="str">
        <f>"潘清松"</f>
        <v>潘清松</v>
      </c>
      <c r="D2032" s="4" t="str">
        <f>"2021020513"</f>
        <v>2021020513</v>
      </c>
      <c r="E2032" s="4" t="str">
        <f t="shared" si="241"/>
        <v>05</v>
      </c>
      <c r="F2032" s="4" t="str">
        <f>"13"</f>
        <v>13</v>
      </c>
      <c r="G2032" s="4" t="s">
        <v>27</v>
      </c>
      <c r="H2032" s="5">
        <v>0</v>
      </c>
      <c r="I2032" s="6" t="s">
        <v>13</v>
      </c>
      <c r="J2032" s="4">
        <f>SUMPRODUCT(--((A2032=$A$3:$A$2785)*$H$3:$H$2785&gt;H2032))+1</f>
        <v>16</v>
      </c>
    </row>
    <row r="2033" s="1" customFormat="true" customHeight="true" spans="1:10">
      <c r="A2033" s="4" t="str">
        <f t="shared" si="238"/>
        <v>026</v>
      </c>
      <c r="B2033" s="4" t="s">
        <v>38</v>
      </c>
      <c r="C2033" s="4" t="str">
        <f>"肖迪"</f>
        <v>肖迪</v>
      </c>
      <c r="D2033" s="4" t="str">
        <f>"2021020514"</f>
        <v>2021020514</v>
      </c>
      <c r="E2033" s="4" t="str">
        <f t="shared" si="241"/>
        <v>05</v>
      </c>
      <c r="F2033" s="4" t="str">
        <f>"14"</f>
        <v>14</v>
      </c>
      <c r="G2033" s="4" t="s">
        <v>27</v>
      </c>
      <c r="H2033" s="5">
        <v>0</v>
      </c>
      <c r="I2033" s="6" t="s">
        <v>13</v>
      </c>
      <c r="J2033" s="4">
        <f>SUMPRODUCT(--((A2033=$A$3:$A$2785)*$H$3:$H$2785&gt;H2033))+1</f>
        <v>16</v>
      </c>
    </row>
    <row r="2034" s="1" customFormat="true" customHeight="true" spans="1:10">
      <c r="A2034" s="4" t="str">
        <f t="shared" si="238"/>
        <v>026</v>
      </c>
      <c r="B2034" s="4" t="s">
        <v>38</v>
      </c>
      <c r="C2034" s="4" t="str">
        <f>"王姚"</f>
        <v>王姚</v>
      </c>
      <c r="D2034" s="4" t="str">
        <f>"2021020515"</f>
        <v>2021020515</v>
      </c>
      <c r="E2034" s="4" t="str">
        <f t="shared" si="241"/>
        <v>05</v>
      </c>
      <c r="F2034" s="4" t="str">
        <f>"15"</f>
        <v>15</v>
      </c>
      <c r="G2034" s="4" t="s">
        <v>27</v>
      </c>
      <c r="H2034" s="5">
        <v>0</v>
      </c>
      <c r="I2034" s="6" t="s">
        <v>13</v>
      </c>
      <c r="J2034" s="4">
        <f>SUMPRODUCT(--((A2034=$A$3:$A$2785)*$H$3:$H$2785&gt;H2034))+1</f>
        <v>16</v>
      </c>
    </row>
    <row r="2035" s="1" customFormat="true" customHeight="true" spans="1:10">
      <c r="A2035" s="4" t="str">
        <f t="shared" si="238"/>
        <v>026</v>
      </c>
      <c r="B2035" s="4" t="s">
        <v>38</v>
      </c>
      <c r="C2035" s="4" t="str">
        <f>"向雨"</f>
        <v>向雨</v>
      </c>
      <c r="D2035" s="4" t="str">
        <f>"2021020516"</f>
        <v>2021020516</v>
      </c>
      <c r="E2035" s="4" t="str">
        <f t="shared" si="241"/>
        <v>05</v>
      </c>
      <c r="F2035" s="4" t="str">
        <f>"16"</f>
        <v>16</v>
      </c>
      <c r="G2035" s="4" t="s">
        <v>27</v>
      </c>
      <c r="H2035" s="5">
        <v>0</v>
      </c>
      <c r="I2035" s="6" t="s">
        <v>13</v>
      </c>
      <c r="J2035" s="4">
        <f>SUMPRODUCT(--((A2035=$A$3:$A$2785)*$H$3:$H$2785&gt;H2035))+1</f>
        <v>16</v>
      </c>
    </row>
    <row r="2036" s="1" customFormat="true" customHeight="true" spans="1:10">
      <c r="A2036" s="4" t="str">
        <f t="shared" si="238"/>
        <v>026</v>
      </c>
      <c r="B2036" s="4" t="s">
        <v>38</v>
      </c>
      <c r="C2036" s="4" t="str">
        <f>"蒲思羽"</f>
        <v>蒲思羽</v>
      </c>
      <c r="D2036" s="4" t="str">
        <f>"2021020517"</f>
        <v>2021020517</v>
      </c>
      <c r="E2036" s="4" t="str">
        <f t="shared" si="241"/>
        <v>05</v>
      </c>
      <c r="F2036" s="4" t="str">
        <f>"17"</f>
        <v>17</v>
      </c>
      <c r="G2036" s="4" t="s">
        <v>27</v>
      </c>
      <c r="H2036" s="5">
        <v>0</v>
      </c>
      <c r="I2036" s="6" t="s">
        <v>13</v>
      </c>
      <c r="J2036" s="4">
        <f>SUMPRODUCT(--((A2036=$A$3:$A$2785)*$H$3:$H$2785&gt;H2036))+1</f>
        <v>16</v>
      </c>
    </row>
    <row r="2037" s="1" customFormat="true" customHeight="true" spans="1:10">
      <c r="A2037" s="4" t="str">
        <f t="shared" si="238"/>
        <v>026</v>
      </c>
      <c r="B2037" s="4" t="s">
        <v>38</v>
      </c>
      <c r="C2037" s="4" t="str">
        <f>"甄帅"</f>
        <v>甄帅</v>
      </c>
      <c r="D2037" s="4" t="str">
        <f>"2021020518"</f>
        <v>2021020518</v>
      </c>
      <c r="E2037" s="4" t="str">
        <f t="shared" si="241"/>
        <v>05</v>
      </c>
      <c r="F2037" s="4" t="str">
        <f>"18"</f>
        <v>18</v>
      </c>
      <c r="G2037" s="4" t="s">
        <v>27</v>
      </c>
      <c r="H2037" s="5">
        <v>0</v>
      </c>
      <c r="I2037" s="6" t="s">
        <v>13</v>
      </c>
      <c r="J2037" s="4">
        <f>SUMPRODUCT(--((A2037=$A$3:$A$2785)*$H$3:$H$2785&gt;H2037))+1</f>
        <v>16</v>
      </c>
    </row>
    <row r="2038" s="1" customFormat="true" customHeight="true" spans="1:10">
      <c r="A2038" s="4" t="str">
        <f t="shared" si="238"/>
        <v>026</v>
      </c>
      <c r="B2038" s="4" t="s">
        <v>38</v>
      </c>
      <c r="C2038" s="4" t="str">
        <f>"姚虹"</f>
        <v>姚虹</v>
      </c>
      <c r="D2038" s="4" t="str">
        <f>"2021020520"</f>
        <v>2021020520</v>
      </c>
      <c r="E2038" s="4" t="str">
        <f t="shared" si="241"/>
        <v>05</v>
      </c>
      <c r="F2038" s="4" t="str">
        <f>"20"</f>
        <v>20</v>
      </c>
      <c r="G2038" s="4" t="s">
        <v>27</v>
      </c>
      <c r="H2038" s="5">
        <v>0</v>
      </c>
      <c r="I2038" s="6" t="s">
        <v>13</v>
      </c>
      <c r="J2038" s="4">
        <f>SUMPRODUCT(--((A2038=$A$3:$A$2785)*$H$3:$H$2785&gt;H2038))+1</f>
        <v>16</v>
      </c>
    </row>
    <row r="2039" s="1" customFormat="true" customHeight="true" spans="1:10">
      <c r="A2039" s="4" t="str">
        <f t="shared" si="238"/>
        <v>026</v>
      </c>
      <c r="B2039" s="4" t="s">
        <v>38</v>
      </c>
      <c r="C2039" s="4" t="str">
        <f>"李丝丝"</f>
        <v>李丝丝</v>
      </c>
      <c r="D2039" s="4" t="str">
        <f>"2021020521"</f>
        <v>2021020521</v>
      </c>
      <c r="E2039" s="4" t="str">
        <f t="shared" si="241"/>
        <v>05</v>
      </c>
      <c r="F2039" s="4" t="str">
        <f>"21"</f>
        <v>21</v>
      </c>
      <c r="G2039" s="4" t="s">
        <v>27</v>
      </c>
      <c r="H2039" s="5">
        <v>0</v>
      </c>
      <c r="I2039" s="6" t="s">
        <v>13</v>
      </c>
      <c r="J2039" s="4">
        <f>SUMPRODUCT(--((A2039=$A$3:$A$2785)*$H$3:$H$2785&gt;H2039))+1</f>
        <v>16</v>
      </c>
    </row>
    <row r="2040" s="1" customFormat="true" customHeight="true" spans="1:10">
      <c r="A2040" s="4" t="str">
        <f t="shared" si="238"/>
        <v>026</v>
      </c>
      <c r="B2040" s="4" t="s">
        <v>38</v>
      </c>
      <c r="C2040" s="4" t="str">
        <f>"曾明"</f>
        <v>曾明</v>
      </c>
      <c r="D2040" s="4" t="str">
        <f>"2021020523"</f>
        <v>2021020523</v>
      </c>
      <c r="E2040" s="4" t="str">
        <f t="shared" si="241"/>
        <v>05</v>
      </c>
      <c r="F2040" s="4" t="str">
        <f>"23"</f>
        <v>23</v>
      </c>
      <c r="G2040" s="4" t="s">
        <v>27</v>
      </c>
      <c r="H2040" s="5">
        <v>0</v>
      </c>
      <c r="I2040" s="6" t="s">
        <v>13</v>
      </c>
      <c r="J2040" s="4">
        <f>SUMPRODUCT(--((A2040=$A$3:$A$2785)*$H$3:$H$2785&gt;H2040))+1</f>
        <v>16</v>
      </c>
    </row>
    <row r="2041" s="1" customFormat="true" customHeight="true" spans="1:10">
      <c r="A2041" s="4" t="str">
        <f t="shared" si="238"/>
        <v>026</v>
      </c>
      <c r="B2041" s="4" t="s">
        <v>38</v>
      </c>
      <c r="C2041" s="4" t="str">
        <f>"隆潘"</f>
        <v>隆潘</v>
      </c>
      <c r="D2041" s="4" t="str">
        <f>"2021020524"</f>
        <v>2021020524</v>
      </c>
      <c r="E2041" s="4" t="str">
        <f t="shared" si="241"/>
        <v>05</v>
      </c>
      <c r="F2041" s="4" t="str">
        <f>"24"</f>
        <v>24</v>
      </c>
      <c r="G2041" s="4" t="s">
        <v>27</v>
      </c>
      <c r="H2041" s="5">
        <v>0</v>
      </c>
      <c r="I2041" s="6" t="s">
        <v>13</v>
      </c>
      <c r="J2041" s="4">
        <f>SUMPRODUCT(--((A2041=$A$3:$A$2785)*$H$3:$H$2785&gt;H2041))+1</f>
        <v>16</v>
      </c>
    </row>
    <row r="2042" s="1" customFormat="true" customHeight="true" spans="1:10">
      <c r="A2042" s="4" t="str">
        <f t="shared" si="238"/>
        <v>026</v>
      </c>
      <c r="B2042" s="4" t="s">
        <v>38</v>
      </c>
      <c r="C2042" s="4" t="str">
        <f>"申欣荣"</f>
        <v>申欣荣</v>
      </c>
      <c r="D2042" s="4" t="str">
        <f>"2021020525"</f>
        <v>2021020525</v>
      </c>
      <c r="E2042" s="4" t="str">
        <f t="shared" si="241"/>
        <v>05</v>
      </c>
      <c r="F2042" s="4" t="str">
        <f>"25"</f>
        <v>25</v>
      </c>
      <c r="G2042" s="4" t="s">
        <v>27</v>
      </c>
      <c r="H2042" s="5">
        <v>0</v>
      </c>
      <c r="I2042" s="6" t="s">
        <v>13</v>
      </c>
      <c r="J2042" s="4">
        <f>SUMPRODUCT(--((A2042=$A$3:$A$2785)*$H$3:$H$2785&gt;H2042))+1</f>
        <v>16</v>
      </c>
    </row>
    <row r="2043" s="1" customFormat="true" customHeight="true" spans="1:10">
      <c r="A2043" s="4" t="str">
        <f t="shared" si="238"/>
        <v>026</v>
      </c>
      <c r="B2043" s="4" t="s">
        <v>38</v>
      </c>
      <c r="C2043" s="4" t="str">
        <f>"蒋梦霞"</f>
        <v>蒋梦霞</v>
      </c>
      <c r="D2043" s="4" t="str">
        <f>"2021020526"</f>
        <v>2021020526</v>
      </c>
      <c r="E2043" s="4" t="str">
        <f t="shared" si="241"/>
        <v>05</v>
      </c>
      <c r="F2043" s="4" t="str">
        <f>"26"</f>
        <v>26</v>
      </c>
      <c r="G2043" s="4" t="s">
        <v>27</v>
      </c>
      <c r="H2043" s="5">
        <v>0</v>
      </c>
      <c r="I2043" s="6" t="s">
        <v>13</v>
      </c>
      <c r="J2043" s="4">
        <f>SUMPRODUCT(--((A2043=$A$3:$A$2785)*$H$3:$H$2785&gt;H2043))+1</f>
        <v>16</v>
      </c>
    </row>
    <row r="2044" s="1" customFormat="true" customHeight="true" spans="1:10">
      <c r="A2044" s="4" t="str">
        <f t="shared" si="238"/>
        <v>026</v>
      </c>
      <c r="B2044" s="4" t="s">
        <v>38</v>
      </c>
      <c r="C2044" s="4" t="str">
        <f>"彭琳"</f>
        <v>彭琳</v>
      </c>
      <c r="D2044" s="4" t="str">
        <f>"2021020527"</f>
        <v>2021020527</v>
      </c>
      <c r="E2044" s="4" t="str">
        <f t="shared" si="241"/>
        <v>05</v>
      </c>
      <c r="F2044" s="4" t="str">
        <f>"27"</f>
        <v>27</v>
      </c>
      <c r="G2044" s="4" t="s">
        <v>27</v>
      </c>
      <c r="H2044" s="5">
        <v>0</v>
      </c>
      <c r="I2044" s="6" t="s">
        <v>13</v>
      </c>
      <c r="J2044" s="4">
        <f>SUMPRODUCT(--((A2044=$A$3:$A$2785)*$H$3:$H$2785&gt;H2044))+1</f>
        <v>16</v>
      </c>
    </row>
    <row r="2045" s="1" customFormat="true" customHeight="true" spans="1:10">
      <c r="A2045" s="4" t="str">
        <f t="shared" si="238"/>
        <v>026</v>
      </c>
      <c r="B2045" s="4" t="s">
        <v>38</v>
      </c>
      <c r="C2045" s="4" t="str">
        <f>"潘莹"</f>
        <v>潘莹</v>
      </c>
      <c r="D2045" s="4" t="str">
        <f>"2021020601"</f>
        <v>2021020601</v>
      </c>
      <c r="E2045" s="4" t="str">
        <f t="shared" ref="E2045:E2050" si="242">"06"</f>
        <v>06</v>
      </c>
      <c r="F2045" s="4" t="str">
        <f>"01"</f>
        <v>01</v>
      </c>
      <c r="G2045" s="4" t="s">
        <v>27</v>
      </c>
      <c r="H2045" s="5">
        <v>0</v>
      </c>
      <c r="I2045" s="6" t="s">
        <v>13</v>
      </c>
      <c r="J2045" s="4">
        <f>SUMPRODUCT(--((A2045=$A$3:$A$2785)*$H$3:$H$2785&gt;H2045))+1</f>
        <v>16</v>
      </c>
    </row>
    <row r="2046" s="1" customFormat="true" customHeight="true" spans="1:10">
      <c r="A2046" s="4" t="str">
        <f t="shared" si="238"/>
        <v>026</v>
      </c>
      <c r="B2046" s="4" t="s">
        <v>38</v>
      </c>
      <c r="C2046" s="4" t="str">
        <f>"陈刘路"</f>
        <v>陈刘路</v>
      </c>
      <c r="D2046" s="4" t="str">
        <f>"2021020602"</f>
        <v>2021020602</v>
      </c>
      <c r="E2046" s="4" t="str">
        <f t="shared" si="242"/>
        <v>06</v>
      </c>
      <c r="F2046" s="4" t="str">
        <f>"02"</f>
        <v>02</v>
      </c>
      <c r="G2046" s="4" t="s">
        <v>27</v>
      </c>
      <c r="H2046" s="5">
        <v>0</v>
      </c>
      <c r="I2046" s="6" t="s">
        <v>13</v>
      </c>
      <c r="J2046" s="4">
        <f>SUMPRODUCT(--((A2046=$A$3:$A$2785)*$H$3:$H$2785&gt;H2046))+1</f>
        <v>16</v>
      </c>
    </row>
    <row r="2047" s="1" customFormat="true" customHeight="true" spans="1:10">
      <c r="A2047" s="4" t="str">
        <f t="shared" si="238"/>
        <v>026</v>
      </c>
      <c r="B2047" s="4" t="s">
        <v>38</v>
      </c>
      <c r="C2047" s="4" t="str">
        <f>"王小龙"</f>
        <v>王小龙</v>
      </c>
      <c r="D2047" s="4" t="str">
        <f>"2021020605"</f>
        <v>2021020605</v>
      </c>
      <c r="E2047" s="4" t="str">
        <f t="shared" si="242"/>
        <v>06</v>
      </c>
      <c r="F2047" s="4" t="str">
        <f>"05"</f>
        <v>05</v>
      </c>
      <c r="G2047" s="4" t="s">
        <v>27</v>
      </c>
      <c r="H2047" s="5">
        <v>0</v>
      </c>
      <c r="I2047" s="6" t="s">
        <v>13</v>
      </c>
      <c r="J2047" s="4">
        <f>SUMPRODUCT(--((A2047=$A$3:$A$2785)*$H$3:$H$2785&gt;H2047))+1</f>
        <v>16</v>
      </c>
    </row>
    <row r="2048" s="1" customFormat="true" customHeight="true" spans="1:10">
      <c r="A2048" s="4" t="str">
        <f t="shared" si="238"/>
        <v>026</v>
      </c>
      <c r="B2048" s="4" t="s">
        <v>38</v>
      </c>
      <c r="C2048" s="4" t="str">
        <f>"方飞"</f>
        <v>方飞</v>
      </c>
      <c r="D2048" s="4" t="str">
        <f>"2021020607"</f>
        <v>2021020607</v>
      </c>
      <c r="E2048" s="4" t="str">
        <f t="shared" si="242"/>
        <v>06</v>
      </c>
      <c r="F2048" s="4" t="str">
        <f>"07"</f>
        <v>07</v>
      </c>
      <c r="G2048" s="4" t="s">
        <v>27</v>
      </c>
      <c r="H2048" s="5">
        <v>0</v>
      </c>
      <c r="I2048" s="6" t="s">
        <v>13</v>
      </c>
      <c r="J2048" s="4">
        <f>SUMPRODUCT(--((A2048=$A$3:$A$2785)*$H$3:$H$2785&gt;H2048))+1</f>
        <v>16</v>
      </c>
    </row>
    <row r="2049" s="1" customFormat="true" customHeight="true" spans="1:10">
      <c r="A2049" s="4" t="str">
        <f t="shared" si="238"/>
        <v>026</v>
      </c>
      <c r="B2049" s="4" t="s">
        <v>38</v>
      </c>
      <c r="C2049" s="4" t="str">
        <f>"向涛"</f>
        <v>向涛</v>
      </c>
      <c r="D2049" s="4" t="str">
        <f>"2021020610"</f>
        <v>2021020610</v>
      </c>
      <c r="E2049" s="4" t="str">
        <f t="shared" si="242"/>
        <v>06</v>
      </c>
      <c r="F2049" s="4" t="str">
        <f>"10"</f>
        <v>10</v>
      </c>
      <c r="G2049" s="4" t="s">
        <v>27</v>
      </c>
      <c r="H2049" s="5">
        <v>0</v>
      </c>
      <c r="I2049" s="6" t="s">
        <v>13</v>
      </c>
      <c r="J2049" s="4">
        <f>SUMPRODUCT(--((A2049=$A$3:$A$2785)*$H$3:$H$2785&gt;H2049))+1</f>
        <v>16</v>
      </c>
    </row>
    <row r="2050" s="1" customFormat="true" customHeight="true" spans="1:10">
      <c r="A2050" s="4" t="str">
        <f t="shared" si="238"/>
        <v>026</v>
      </c>
      <c r="B2050" s="4" t="s">
        <v>38</v>
      </c>
      <c r="C2050" s="4" t="str">
        <f>"杨鹏"</f>
        <v>杨鹏</v>
      </c>
      <c r="D2050" s="4" t="str">
        <f>"2021020611"</f>
        <v>2021020611</v>
      </c>
      <c r="E2050" s="4" t="str">
        <f t="shared" si="242"/>
        <v>06</v>
      </c>
      <c r="F2050" s="4" t="str">
        <f>"11"</f>
        <v>11</v>
      </c>
      <c r="G2050" s="4" t="s">
        <v>27</v>
      </c>
      <c r="H2050" s="5">
        <v>0</v>
      </c>
      <c r="I2050" s="6" t="s">
        <v>13</v>
      </c>
      <c r="J2050" s="4">
        <f>SUMPRODUCT(--((A2050=$A$3:$A$2785)*$H$3:$H$2785&gt;H2050))+1</f>
        <v>16</v>
      </c>
    </row>
    <row r="2051" s="1" customFormat="true" customHeight="true" spans="1:10">
      <c r="A2051" s="4" t="str">
        <f t="shared" ref="A2051:A2101" si="243">"027"</f>
        <v>027</v>
      </c>
      <c r="B2051" s="4" t="s">
        <v>39</v>
      </c>
      <c r="C2051" s="4" t="str">
        <f>"刘蕊菲"</f>
        <v>刘蕊菲</v>
      </c>
      <c r="D2051" s="4" t="str">
        <f>"2021020722"</f>
        <v>2021020722</v>
      </c>
      <c r="E2051" s="4" t="str">
        <f t="shared" ref="E2051:E2059" si="244">"07"</f>
        <v>07</v>
      </c>
      <c r="F2051" s="4" t="str">
        <f>"22"</f>
        <v>22</v>
      </c>
      <c r="G2051" s="4" t="s">
        <v>27</v>
      </c>
      <c r="H2051" s="5">
        <v>77.1</v>
      </c>
      <c r="I2051" s="4"/>
      <c r="J2051" s="4">
        <f>SUMPRODUCT(--((A2051=$A$3:$A$2785)*$H$3:$H$2785&gt;H2051))+1</f>
        <v>1</v>
      </c>
    </row>
    <row r="2052" s="1" customFormat="true" customHeight="true" spans="1:10">
      <c r="A2052" s="4" t="str">
        <f t="shared" si="243"/>
        <v>027</v>
      </c>
      <c r="B2052" s="4" t="s">
        <v>39</v>
      </c>
      <c r="C2052" s="4" t="str">
        <f>"袁丹"</f>
        <v>袁丹</v>
      </c>
      <c r="D2052" s="4" t="str">
        <f>"2021020626"</f>
        <v>2021020626</v>
      </c>
      <c r="E2052" s="4" t="str">
        <f t="shared" ref="E2052:E2055" si="245">"06"</f>
        <v>06</v>
      </c>
      <c r="F2052" s="4" t="str">
        <f>"26"</f>
        <v>26</v>
      </c>
      <c r="G2052" s="4" t="s">
        <v>27</v>
      </c>
      <c r="H2052" s="5">
        <v>75.9</v>
      </c>
      <c r="I2052" s="4"/>
      <c r="J2052" s="4">
        <f>SUMPRODUCT(--((A2052=$A$3:$A$2785)*$H$3:$H$2785&gt;H2052))+1</f>
        <v>2</v>
      </c>
    </row>
    <row r="2053" s="1" customFormat="true" customHeight="true" spans="1:10">
      <c r="A2053" s="4" t="str">
        <f t="shared" si="243"/>
        <v>027</v>
      </c>
      <c r="B2053" s="4" t="s">
        <v>39</v>
      </c>
      <c r="C2053" s="4" t="str">
        <f>"张宸宁"</f>
        <v>张宸宁</v>
      </c>
      <c r="D2053" s="4" t="str">
        <f>"2021020624"</f>
        <v>2021020624</v>
      </c>
      <c r="E2053" s="4" t="str">
        <f t="shared" si="245"/>
        <v>06</v>
      </c>
      <c r="F2053" s="4" t="str">
        <f>"24"</f>
        <v>24</v>
      </c>
      <c r="G2053" s="4" t="s">
        <v>27</v>
      </c>
      <c r="H2053" s="5">
        <v>68.35</v>
      </c>
      <c r="I2053" s="4"/>
      <c r="J2053" s="4">
        <f>SUMPRODUCT(--((A2053=$A$3:$A$2785)*$H$3:$H$2785&gt;H2053))+1</f>
        <v>3</v>
      </c>
    </row>
    <row r="2054" s="1" customFormat="true" customHeight="true" spans="1:10">
      <c r="A2054" s="4" t="str">
        <f t="shared" si="243"/>
        <v>027</v>
      </c>
      <c r="B2054" s="4" t="s">
        <v>39</v>
      </c>
      <c r="C2054" s="4" t="str">
        <f>"朱丽萍"</f>
        <v>朱丽萍</v>
      </c>
      <c r="D2054" s="4" t="str">
        <f>"2021020708"</f>
        <v>2021020708</v>
      </c>
      <c r="E2054" s="4" t="str">
        <f t="shared" si="244"/>
        <v>07</v>
      </c>
      <c r="F2054" s="4" t="str">
        <f>"08"</f>
        <v>08</v>
      </c>
      <c r="G2054" s="4" t="s">
        <v>27</v>
      </c>
      <c r="H2054" s="5">
        <v>67.45</v>
      </c>
      <c r="I2054" s="4"/>
      <c r="J2054" s="4">
        <f>SUMPRODUCT(--((A2054=$A$3:$A$2785)*$H$3:$H$2785&gt;H2054))+1</f>
        <v>4</v>
      </c>
    </row>
    <row r="2055" s="1" customFormat="true" customHeight="true" spans="1:10">
      <c r="A2055" s="4" t="str">
        <f t="shared" si="243"/>
        <v>027</v>
      </c>
      <c r="B2055" s="4" t="s">
        <v>39</v>
      </c>
      <c r="C2055" s="4" t="str">
        <f>"杨超然"</f>
        <v>杨超然</v>
      </c>
      <c r="D2055" s="4" t="str">
        <f>"2021020615"</f>
        <v>2021020615</v>
      </c>
      <c r="E2055" s="4" t="str">
        <f t="shared" si="245"/>
        <v>06</v>
      </c>
      <c r="F2055" s="4" t="str">
        <f>"15"</f>
        <v>15</v>
      </c>
      <c r="G2055" s="4" t="s">
        <v>27</v>
      </c>
      <c r="H2055" s="5">
        <v>67.3</v>
      </c>
      <c r="I2055" s="4"/>
      <c r="J2055" s="4">
        <f>SUMPRODUCT(--((A2055=$A$3:$A$2785)*$H$3:$H$2785&gt;H2055))+1</f>
        <v>5</v>
      </c>
    </row>
    <row r="2056" s="1" customFormat="true" customHeight="true" spans="1:10">
      <c r="A2056" s="4" t="str">
        <f t="shared" si="243"/>
        <v>027</v>
      </c>
      <c r="B2056" s="4" t="s">
        <v>39</v>
      </c>
      <c r="C2056" s="4" t="str">
        <f>"吴亚平"</f>
        <v>吴亚平</v>
      </c>
      <c r="D2056" s="4" t="str">
        <f>"2021020711"</f>
        <v>2021020711</v>
      </c>
      <c r="E2056" s="4" t="str">
        <f t="shared" si="244"/>
        <v>07</v>
      </c>
      <c r="F2056" s="4" t="str">
        <f>"11"</f>
        <v>11</v>
      </c>
      <c r="G2056" s="4" t="s">
        <v>27</v>
      </c>
      <c r="H2056" s="5">
        <v>66.85</v>
      </c>
      <c r="I2056" s="4"/>
      <c r="J2056" s="4">
        <f>SUMPRODUCT(--((A2056=$A$3:$A$2785)*$H$3:$H$2785&gt;H2056))+1</f>
        <v>6</v>
      </c>
    </row>
    <row r="2057" s="1" customFormat="true" customHeight="true" spans="1:10">
      <c r="A2057" s="4" t="str">
        <f t="shared" si="243"/>
        <v>027</v>
      </c>
      <c r="B2057" s="4" t="s">
        <v>39</v>
      </c>
      <c r="C2057" s="4" t="str">
        <f>"王梦姣"</f>
        <v>王梦姣</v>
      </c>
      <c r="D2057" s="4" t="str">
        <f>"2021020717"</f>
        <v>2021020717</v>
      </c>
      <c r="E2057" s="4" t="str">
        <f t="shared" si="244"/>
        <v>07</v>
      </c>
      <c r="F2057" s="4" t="str">
        <f>"17"</f>
        <v>17</v>
      </c>
      <c r="G2057" s="4" t="s">
        <v>27</v>
      </c>
      <c r="H2057" s="5">
        <v>66.75</v>
      </c>
      <c r="I2057" s="4"/>
      <c r="J2057" s="4">
        <f>SUMPRODUCT(--((A2057=$A$3:$A$2785)*$H$3:$H$2785&gt;H2057))+1</f>
        <v>7</v>
      </c>
    </row>
    <row r="2058" s="1" customFormat="true" customHeight="true" spans="1:10">
      <c r="A2058" s="4" t="str">
        <f t="shared" si="243"/>
        <v>027</v>
      </c>
      <c r="B2058" s="4" t="s">
        <v>39</v>
      </c>
      <c r="C2058" s="4" t="str">
        <f>"张昀"</f>
        <v>张昀</v>
      </c>
      <c r="D2058" s="4" t="str">
        <f>"2021020707"</f>
        <v>2021020707</v>
      </c>
      <c r="E2058" s="4" t="str">
        <f t="shared" si="244"/>
        <v>07</v>
      </c>
      <c r="F2058" s="4" t="str">
        <f>"07"</f>
        <v>07</v>
      </c>
      <c r="G2058" s="4" t="s">
        <v>27</v>
      </c>
      <c r="H2058" s="5">
        <v>66.5</v>
      </c>
      <c r="I2058" s="4"/>
      <c r="J2058" s="4">
        <f>SUMPRODUCT(--((A2058=$A$3:$A$2785)*$H$3:$H$2785&gt;H2058))+1</f>
        <v>8</v>
      </c>
    </row>
    <row r="2059" s="1" customFormat="true" customHeight="true" spans="1:10">
      <c r="A2059" s="4" t="str">
        <f t="shared" si="243"/>
        <v>027</v>
      </c>
      <c r="B2059" s="4" t="s">
        <v>39</v>
      </c>
      <c r="C2059" s="4" t="str">
        <f>"刘嘉琳"</f>
        <v>刘嘉琳</v>
      </c>
      <c r="D2059" s="4" t="str">
        <f>"2021020715"</f>
        <v>2021020715</v>
      </c>
      <c r="E2059" s="4" t="str">
        <f t="shared" si="244"/>
        <v>07</v>
      </c>
      <c r="F2059" s="4" t="str">
        <f>"15"</f>
        <v>15</v>
      </c>
      <c r="G2059" s="4" t="s">
        <v>27</v>
      </c>
      <c r="H2059" s="5">
        <v>66.15</v>
      </c>
      <c r="I2059" s="4"/>
      <c r="J2059" s="4">
        <f>SUMPRODUCT(--((A2059=$A$3:$A$2785)*$H$3:$H$2785&gt;H2059))+1</f>
        <v>9</v>
      </c>
    </row>
    <row r="2060" s="1" customFormat="true" customHeight="true" spans="1:10">
      <c r="A2060" s="4" t="str">
        <f t="shared" si="243"/>
        <v>027</v>
      </c>
      <c r="B2060" s="4" t="s">
        <v>39</v>
      </c>
      <c r="C2060" s="4" t="str">
        <f>"禹佩岑"</f>
        <v>禹佩岑</v>
      </c>
      <c r="D2060" s="4" t="str">
        <f>"2021020621"</f>
        <v>2021020621</v>
      </c>
      <c r="E2060" s="4" t="str">
        <f t="shared" ref="E2060:E2064" si="246">"06"</f>
        <v>06</v>
      </c>
      <c r="F2060" s="4" t="str">
        <f>"21"</f>
        <v>21</v>
      </c>
      <c r="G2060" s="4" t="s">
        <v>27</v>
      </c>
      <c r="H2060" s="5">
        <v>64.6</v>
      </c>
      <c r="I2060" s="4"/>
      <c r="J2060" s="4">
        <f>SUMPRODUCT(--((A2060=$A$3:$A$2785)*$H$3:$H$2785&gt;H2060))+1</f>
        <v>10</v>
      </c>
    </row>
    <row r="2061" s="1" customFormat="true" customHeight="true" spans="1:10">
      <c r="A2061" s="4" t="str">
        <f t="shared" si="243"/>
        <v>027</v>
      </c>
      <c r="B2061" s="4" t="s">
        <v>39</v>
      </c>
      <c r="C2061" s="4" t="str">
        <f>"刘妍"</f>
        <v>刘妍</v>
      </c>
      <c r="D2061" s="4" t="str">
        <f>"2021020720"</f>
        <v>2021020720</v>
      </c>
      <c r="E2061" s="4" t="str">
        <f>"07"</f>
        <v>07</v>
      </c>
      <c r="F2061" s="4" t="str">
        <f>"20"</f>
        <v>20</v>
      </c>
      <c r="G2061" s="4" t="s">
        <v>27</v>
      </c>
      <c r="H2061" s="5">
        <v>64.1</v>
      </c>
      <c r="I2061" s="4"/>
      <c r="J2061" s="4">
        <f>SUMPRODUCT(--((A2061=$A$3:$A$2785)*$H$3:$H$2785&gt;H2061))+1</f>
        <v>11</v>
      </c>
    </row>
    <row r="2062" s="1" customFormat="true" customHeight="true" spans="1:10">
      <c r="A2062" s="4" t="str">
        <f t="shared" si="243"/>
        <v>027</v>
      </c>
      <c r="B2062" s="4" t="s">
        <v>39</v>
      </c>
      <c r="C2062" s="4" t="str">
        <f>"游小莹"</f>
        <v>游小莹</v>
      </c>
      <c r="D2062" s="4" t="str">
        <f>"2021020623"</f>
        <v>2021020623</v>
      </c>
      <c r="E2062" s="4" t="str">
        <f t="shared" si="246"/>
        <v>06</v>
      </c>
      <c r="F2062" s="4" t="str">
        <f>"23"</f>
        <v>23</v>
      </c>
      <c r="G2062" s="4" t="s">
        <v>27</v>
      </c>
      <c r="H2062" s="5">
        <v>63.85</v>
      </c>
      <c r="I2062" s="4"/>
      <c r="J2062" s="4">
        <f>SUMPRODUCT(--((A2062=$A$3:$A$2785)*$H$3:$H$2785&gt;H2062))+1</f>
        <v>12</v>
      </c>
    </row>
    <row r="2063" s="1" customFormat="true" customHeight="true" spans="1:10">
      <c r="A2063" s="4" t="str">
        <f t="shared" si="243"/>
        <v>027</v>
      </c>
      <c r="B2063" s="4" t="s">
        <v>39</v>
      </c>
      <c r="C2063" s="4" t="str">
        <f>"杨凤"</f>
        <v>杨凤</v>
      </c>
      <c r="D2063" s="4" t="str">
        <f>"2021020617"</f>
        <v>2021020617</v>
      </c>
      <c r="E2063" s="4" t="str">
        <f t="shared" si="246"/>
        <v>06</v>
      </c>
      <c r="F2063" s="4" t="str">
        <f>"17"</f>
        <v>17</v>
      </c>
      <c r="G2063" s="4" t="s">
        <v>27</v>
      </c>
      <c r="H2063" s="5">
        <v>63.75</v>
      </c>
      <c r="I2063" s="4"/>
      <c r="J2063" s="4">
        <f>SUMPRODUCT(--((A2063=$A$3:$A$2785)*$H$3:$H$2785&gt;H2063))+1</f>
        <v>13</v>
      </c>
    </row>
    <row r="2064" s="1" customFormat="true" customHeight="true" spans="1:10">
      <c r="A2064" s="4" t="str">
        <f t="shared" si="243"/>
        <v>027</v>
      </c>
      <c r="B2064" s="4" t="s">
        <v>39</v>
      </c>
      <c r="C2064" s="4" t="str">
        <f>"周子意"</f>
        <v>周子意</v>
      </c>
      <c r="D2064" s="4" t="str">
        <f>"2021020616"</f>
        <v>2021020616</v>
      </c>
      <c r="E2064" s="4" t="str">
        <f t="shared" si="246"/>
        <v>06</v>
      </c>
      <c r="F2064" s="4" t="str">
        <f>"16"</f>
        <v>16</v>
      </c>
      <c r="G2064" s="4" t="s">
        <v>27</v>
      </c>
      <c r="H2064" s="5">
        <v>63.7</v>
      </c>
      <c r="I2064" s="4"/>
      <c r="J2064" s="4">
        <f>SUMPRODUCT(--((A2064=$A$3:$A$2785)*$H$3:$H$2785&gt;H2064))+1</f>
        <v>14</v>
      </c>
    </row>
    <row r="2065" s="1" customFormat="true" customHeight="true" spans="1:10">
      <c r="A2065" s="4" t="str">
        <f t="shared" si="243"/>
        <v>027</v>
      </c>
      <c r="B2065" s="4" t="s">
        <v>39</v>
      </c>
      <c r="C2065" s="4" t="str">
        <f>"邹鑫"</f>
        <v>邹鑫</v>
      </c>
      <c r="D2065" s="4" t="str">
        <f>"2021020721"</f>
        <v>2021020721</v>
      </c>
      <c r="E2065" s="4" t="str">
        <f t="shared" ref="E2065:E2068" si="247">"07"</f>
        <v>07</v>
      </c>
      <c r="F2065" s="4" t="str">
        <f>"21"</f>
        <v>21</v>
      </c>
      <c r="G2065" s="4" t="s">
        <v>27</v>
      </c>
      <c r="H2065" s="5">
        <v>63.6</v>
      </c>
      <c r="I2065" s="4"/>
      <c r="J2065" s="4">
        <f>SUMPRODUCT(--((A2065=$A$3:$A$2785)*$H$3:$H$2785&gt;H2065))+1</f>
        <v>15</v>
      </c>
    </row>
    <row r="2066" s="1" customFormat="true" customHeight="true" spans="1:10">
      <c r="A2066" s="4" t="str">
        <f t="shared" si="243"/>
        <v>027</v>
      </c>
      <c r="B2066" s="4" t="s">
        <v>39</v>
      </c>
      <c r="C2066" s="4" t="str">
        <f>"陈艺文"</f>
        <v>陈艺文</v>
      </c>
      <c r="D2066" s="4" t="str">
        <f>"2021020628"</f>
        <v>2021020628</v>
      </c>
      <c r="E2066" s="4" t="str">
        <f>"06"</f>
        <v>06</v>
      </c>
      <c r="F2066" s="4" t="str">
        <f>"28"</f>
        <v>28</v>
      </c>
      <c r="G2066" s="4" t="s">
        <v>27</v>
      </c>
      <c r="H2066" s="5">
        <v>63.2</v>
      </c>
      <c r="I2066" s="4"/>
      <c r="J2066" s="4">
        <f>SUMPRODUCT(--((A2066=$A$3:$A$2785)*$H$3:$H$2785&gt;H2066))+1</f>
        <v>16</v>
      </c>
    </row>
    <row r="2067" s="1" customFormat="true" customHeight="true" spans="1:10">
      <c r="A2067" s="4" t="str">
        <f t="shared" si="243"/>
        <v>027</v>
      </c>
      <c r="B2067" s="4" t="s">
        <v>39</v>
      </c>
      <c r="C2067" s="4" t="str">
        <f>"符雷"</f>
        <v>符雷</v>
      </c>
      <c r="D2067" s="4" t="str">
        <f>"2021020712"</f>
        <v>2021020712</v>
      </c>
      <c r="E2067" s="4" t="str">
        <f t="shared" si="247"/>
        <v>07</v>
      </c>
      <c r="F2067" s="4" t="str">
        <f>"12"</f>
        <v>12</v>
      </c>
      <c r="G2067" s="4" t="s">
        <v>27</v>
      </c>
      <c r="H2067" s="5">
        <v>62.75</v>
      </c>
      <c r="I2067" s="4"/>
      <c r="J2067" s="4">
        <f>SUMPRODUCT(--((A2067=$A$3:$A$2785)*$H$3:$H$2785&gt;H2067))+1</f>
        <v>17</v>
      </c>
    </row>
    <row r="2068" s="1" customFormat="true" customHeight="true" spans="1:10">
      <c r="A2068" s="4" t="str">
        <f t="shared" si="243"/>
        <v>027</v>
      </c>
      <c r="B2068" s="4" t="s">
        <v>39</v>
      </c>
      <c r="C2068" s="4" t="str">
        <f>"舒芸"</f>
        <v>舒芸</v>
      </c>
      <c r="D2068" s="4" t="str">
        <f>"2021020727"</f>
        <v>2021020727</v>
      </c>
      <c r="E2068" s="4" t="str">
        <f t="shared" si="247"/>
        <v>07</v>
      </c>
      <c r="F2068" s="4" t="str">
        <f>"27"</f>
        <v>27</v>
      </c>
      <c r="G2068" s="4" t="s">
        <v>27</v>
      </c>
      <c r="H2068" s="5">
        <v>62.1</v>
      </c>
      <c r="I2068" s="4"/>
      <c r="J2068" s="4">
        <f>SUMPRODUCT(--((A2068=$A$3:$A$2785)*$H$3:$H$2785&gt;H2068))+1</f>
        <v>18</v>
      </c>
    </row>
    <row r="2069" s="1" customFormat="true" customHeight="true" spans="1:10">
      <c r="A2069" s="4" t="str">
        <f t="shared" si="243"/>
        <v>027</v>
      </c>
      <c r="B2069" s="4" t="s">
        <v>39</v>
      </c>
      <c r="C2069" s="4" t="str">
        <f>"姚桂柳"</f>
        <v>姚桂柳</v>
      </c>
      <c r="D2069" s="4" t="str">
        <f>"2021020614"</f>
        <v>2021020614</v>
      </c>
      <c r="E2069" s="4" t="str">
        <f>"06"</f>
        <v>06</v>
      </c>
      <c r="F2069" s="4" t="str">
        <f>"14"</f>
        <v>14</v>
      </c>
      <c r="G2069" s="4" t="s">
        <v>27</v>
      </c>
      <c r="H2069" s="5">
        <v>61.95</v>
      </c>
      <c r="I2069" s="4"/>
      <c r="J2069" s="4">
        <f>SUMPRODUCT(--((A2069=$A$3:$A$2785)*$H$3:$H$2785&gt;H2069))+1</f>
        <v>19</v>
      </c>
    </row>
    <row r="2070" s="1" customFormat="true" customHeight="true" spans="1:10">
      <c r="A2070" s="4" t="str">
        <f t="shared" si="243"/>
        <v>027</v>
      </c>
      <c r="B2070" s="4" t="s">
        <v>39</v>
      </c>
      <c r="C2070" s="4" t="str">
        <f>"陈艳娟"</f>
        <v>陈艳娟</v>
      </c>
      <c r="D2070" s="4" t="str">
        <f>"2021020705"</f>
        <v>2021020705</v>
      </c>
      <c r="E2070" s="4" t="str">
        <f t="shared" ref="E2070:E2073" si="248">"07"</f>
        <v>07</v>
      </c>
      <c r="F2070" s="4" t="str">
        <f>"05"</f>
        <v>05</v>
      </c>
      <c r="G2070" s="4" t="s">
        <v>27</v>
      </c>
      <c r="H2070" s="5">
        <v>61.95</v>
      </c>
      <c r="I2070" s="4"/>
      <c r="J2070" s="4">
        <f>SUMPRODUCT(--((A2070=$A$3:$A$2785)*$H$3:$H$2785&gt;H2070))+1</f>
        <v>19</v>
      </c>
    </row>
    <row r="2071" s="1" customFormat="true" customHeight="true" spans="1:10">
      <c r="A2071" s="4" t="str">
        <f t="shared" si="243"/>
        <v>027</v>
      </c>
      <c r="B2071" s="4" t="s">
        <v>39</v>
      </c>
      <c r="C2071" s="4" t="str">
        <f>"陈文静"</f>
        <v>陈文静</v>
      </c>
      <c r="D2071" s="4" t="str">
        <f>"2021020718"</f>
        <v>2021020718</v>
      </c>
      <c r="E2071" s="4" t="str">
        <f t="shared" si="248"/>
        <v>07</v>
      </c>
      <c r="F2071" s="4" t="str">
        <f>"18"</f>
        <v>18</v>
      </c>
      <c r="G2071" s="4" t="s">
        <v>27</v>
      </c>
      <c r="H2071" s="5">
        <v>60.3</v>
      </c>
      <c r="I2071" s="4"/>
      <c r="J2071" s="4">
        <f>SUMPRODUCT(--((A2071=$A$3:$A$2785)*$H$3:$H$2785&gt;H2071))+1</f>
        <v>21</v>
      </c>
    </row>
    <row r="2072" s="1" customFormat="true" customHeight="true" spans="1:10">
      <c r="A2072" s="4" t="str">
        <f t="shared" si="243"/>
        <v>027</v>
      </c>
      <c r="B2072" s="4" t="s">
        <v>39</v>
      </c>
      <c r="C2072" s="4" t="str">
        <f>"向前"</f>
        <v>向前</v>
      </c>
      <c r="D2072" s="4" t="str">
        <f>"2021020723"</f>
        <v>2021020723</v>
      </c>
      <c r="E2072" s="4" t="str">
        <f t="shared" si="248"/>
        <v>07</v>
      </c>
      <c r="F2072" s="4" t="str">
        <f>"23"</f>
        <v>23</v>
      </c>
      <c r="G2072" s="4" t="s">
        <v>27</v>
      </c>
      <c r="H2072" s="5">
        <v>57.9</v>
      </c>
      <c r="I2072" s="4"/>
      <c r="J2072" s="4">
        <f>SUMPRODUCT(--((A2072=$A$3:$A$2785)*$H$3:$H$2785&gt;H2072))+1</f>
        <v>22</v>
      </c>
    </row>
    <row r="2073" s="1" customFormat="true" customHeight="true" spans="1:10">
      <c r="A2073" s="4" t="str">
        <f t="shared" si="243"/>
        <v>027</v>
      </c>
      <c r="B2073" s="4" t="s">
        <v>39</v>
      </c>
      <c r="C2073" s="4" t="str">
        <f>"张路"</f>
        <v>张路</v>
      </c>
      <c r="D2073" s="4" t="str">
        <f>"2021020704"</f>
        <v>2021020704</v>
      </c>
      <c r="E2073" s="4" t="str">
        <f t="shared" si="248"/>
        <v>07</v>
      </c>
      <c r="F2073" s="4" t="str">
        <f>"04"</f>
        <v>04</v>
      </c>
      <c r="G2073" s="4" t="s">
        <v>27</v>
      </c>
      <c r="H2073" s="5">
        <v>55.6</v>
      </c>
      <c r="I2073" s="4"/>
      <c r="J2073" s="4">
        <f>SUMPRODUCT(--((A2073=$A$3:$A$2785)*$H$3:$H$2785&gt;H2073))+1</f>
        <v>23</v>
      </c>
    </row>
    <row r="2074" s="1" customFormat="true" customHeight="true" spans="1:10">
      <c r="A2074" s="4" t="str">
        <f t="shared" si="243"/>
        <v>027</v>
      </c>
      <c r="B2074" s="4" t="s">
        <v>39</v>
      </c>
      <c r="C2074" s="4" t="str">
        <f>"杨添吉"</f>
        <v>杨添吉</v>
      </c>
      <c r="D2074" s="4" t="str">
        <f>"2021020630"</f>
        <v>2021020630</v>
      </c>
      <c r="E2074" s="4" t="str">
        <f>"06"</f>
        <v>06</v>
      </c>
      <c r="F2074" s="4" t="str">
        <f>"30"</f>
        <v>30</v>
      </c>
      <c r="G2074" s="4" t="s">
        <v>27</v>
      </c>
      <c r="H2074" s="5">
        <v>50.8</v>
      </c>
      <c r="I2074" s="4"/>
      <c r="J2074" s="4">
        <f>SUMPRODUCT(--((A2074=$A$3:$A$2785)*$H$3:$H$2785&gt;H2074))+1</f>
        <v>24</v>
      </c>
    </row>
    <row r="2075" s="1" customFormat="true" customHeight="true" spans="1:10">
      <c r="A2075" s="4" t="str">
        <f t="shared" si="243"/>
        <v>027</v>
      </c>
      <c r="B2075" s="4" t="s">
        <v>39</v>
      </c>
      <c r="C2075" s="4" t="str">
        <f>"张惠萍"</f>
        <v>张惠萍</v>
      </c>
      <c r="D2075" s="4" t="str">
        <f>"2021020703"</f>
        <v>2021020703</v>
      </c>
      <c r="E2075" s="4" t="str">
        <f>"07"</f>
        <v>07</v>
      </c>
      <c r="F2075" s="4" t="str">
        <f>"03"</f>
        <v>03</v>
      </c>
      <c r="G2075" s="4" t="s">
        <v>27</v>
      </c>
      <c r="H2075" s="5">
        <v>49.75</v>
      </c>
      <c r="I2075" s="4"/>
      <c r="J2075" s="4">
        <f>SUMPRODUCT(--((A2075=$A$3:$A$2785)*$H$3:$H$2785&gt;H2075))+1</f>
        <v>25</v>
      </c>
    </row>
    <row r="2076" s="1" customFormat="true" customHeight="true" spans="1:10">
      <c r="A2076" s="4" t="str">
        <f t="shared" si="243"/>
        <v>027</v>
      </c>
      <c r="B2076" s="4" t="s">
        <v>39</v>
      </c>
      <c r="C2076" s="4" t="str">
        <f>"刘欢"</f>
        <v>刘欢</v>
      </c>
      <c r="D2076" s="4" t="str">
        <f>"2021020618"</f>
        <v>2021020618</v>
      </c>
      <c r="E2076" s="4" t="str">
        <f t="shared" ref="E2076:E2085" si="249">"06"</f>
        <v>06</v>
      </c>
      <c r="F2076" s="4" t="str">
        <f>"18"</f>
        <v>18</v>
      </c>
      <c r="G2076" s="4" t="s">
        <v>27</v>
      </c>
      <c r="H2076" s="5">
        <v>48.75</v>
      </c>
      <c r="I2076" s="4"/>
      <c r="J2076" s="4">
        <f>SUMPRODUCT(--((A2076=$A$3:$A$2785)*$H$3:$H$2785&gt;H2076))+1</f>
        <v>26</v>
      </c>
    </row>
    <row r="2077" s="1" customFormat="true" customHeight="true" spans="1:10">
      <c r="A2077" s="4" t="str">
        <f t="shared" si="243"/>
        <v>027</v>
      </c>
      <c r="B2077" s="4" t="s">
        <v>39</v>
      </c>
      <c r="C2077" s="4" t="str">
        <f>"王璐"</f>
        <v>王璐</v>
      </c>
      <c r="D2077" s="4" t="str">
        <f>"2021020724"</f>
        <v>2021020724</v>
      </c>
      <c r="E2077" s="4" t="str">
        <f>"07"</f>
        <v>07</v>
      </c>
      <c r="F2077" s="4" t="str">
        <f>"24"</f>
        <v>24</v>
      </c>
      <c r="G2077" s="4" t="s">
        <v>27</v>
      </c>
      <c r="H2077" s="5">
        <v>44.7</v>
      </c>
      <c r="I2077" s="4"/>
      <c r="J2077" s="4">
        <f>SUMPRODUCT(--((A2077=$A$3:$A$2785)*$H$3:$H$2785&gt;H2077))+1</f>
        <v>27</v>
      </c>
    </row>
    <row r="2078" s="1" customFormat="true" customHeight="true" spans="1:10">
      <c r="A2078" s="4" t="str">
        <f t="shared" si="243"/>
        <v>027</v>
      </c>
      <c r="B2078" s="4" t="s">
        <v>39</v>
      </c>
      <c r="C2078" s="4" t="str">
        <f>"彭淑珍"</f>
        <v>彭淑珍</v>
      </c>
      <c r="D2078" s="4" t="str">
        <f>"2021020801"</f>
        <v>2021020801</v>
      </c>
      <c r="E2078" s="4" t="str">
        <f>"08"</f>
        <v>08</v>
      </c>
      <c r="F2078" s="4" t="str">
        <f>"01"</f>
        <v>01</v>
      </c>
      <c r="G2078" s="4" t="s">
        <v>27</v>
      </c>
      <c r="H2078" s="5">
        <v>43.05</v>
      </c>
      <c r="I2078" s="4"/>
      <c r="J2078" s="4">
        <f>SUMPRODUCT(--((A2078=$A$3:$A$2785)*$H$3:$H$2785&gt;H2078))+1</f>
        <v>28</v>
      </c>
    </row>
    <row r="2079" s="1" customFormat="true" customHeight="true" spans="1:10">
      <c r="A2079" s="4" t="str">
        <f t="shared" si="243"/>
        <v>027</v>
      </c>
      <c r="B2079" s="4" t="s">
        <v>39</v>
      </c>
      <c r="C2079" s="4" t="str">
        <f>"左芸"</f>
        <v>左芸</v>
      </c>
      <c r="D2079" s="4" t="str">
        <f>"2021020804"</f>
        <v>2021020804</v>
      </c>
      <c r="E2079" s="4" t="str">
        <f>"08"</f>
        <v>08</v>
      </c>
      <c r="F2079" s="4" t="str">
        <f>"04"</f>
        <v>04</v>
      </c>
      <c r="G2079" s="4" t="s">
        <v>27</v>
      </c>
      <c r="H2079" s="5">
        <v>35.6</v>
      </c>
      <c r="I2079" s="4"/>
      <c r="J2079" s="4">
        <f>SUMPRODUCT(--((A2079=$A$3:$A$2785)*$H$3:$H$2785&gt;H2079))+1</f>
        <v>29</v>
      </c>
    </row>
    <row r="2080" s="1" customFormat="true" customHeight="true" spans="1:10">
      <c r="A2080" s="4" t="str">
        <f t="shared" si="243"/>
        <v>027</v>
      </c>
      <c r="B2080" s="4" t="s">
        <v>39</v>
      </c>
      <c r="C2080" s="4" t="str">
        <f>"龙丽群"</f>
        <v>龙丽群</v>
      </c>
      <c r="D2080" s="4" t="str">
        <f>"2021020619"</f>
        <v>2021020619</v>
      </c>
      <c r="E2080" s="4" t="str">
        <f t="shared" si="249"/>
        <v>06</v>
      </c>
      <c r="F2080" s="4" t="str">
        <f>"19"</f>
        <v>19</v>
      </c>
      <c r="G2080" s="4" t="s">
        <v>27</v>
      </c>
      <c r="H2080" s="5">
        <v>0</v>
      </c>
      <c r="I2080" s="6" t="s">
        <v>13</v>
      </c>
      <c r="J2080" s="4">
        <f>SUMPRODUCT(--((A2080=$A$3:$A$2785)*$H$3:$H$2785&gt;H2080))+1</f>
        <v>30</v>
      </c>
    </row>
    <row r="2081" s="1" customFormat="true" customHeight="true" spans="1:10">
      <c r="A2081" s="4" t="str">
        <f t="shared" si="243"/>
        <v>027</v>
      </c>
      <c r="B2081" s="4" t="s">
        <v>39</v>
      </c>
      <c r="C2081" s="4" t="str">
        <f>"汤雅俊"</f>
        <v>汤雅俊</v>
      </c>
      <c r="D2081" s="4" t="str">
        <f>"2021020620"</f>
        <v>2021020620</v>
      </c>
      <c r="E2081" s="4" t="str">
        <f t="shared" si="249"/>
        <v>06</v>
      </c>
      <c r="F2081" s="4" t="str">
        <f>"20"</f>
        <v>20</v>
      </c>
      <c r="G2081" s="4" t="s">
        <v>27</v>
      </c>
      <c r="H2081" s="5">
        <v>0</v>
      </c>
      <c r="I2081" s="6" t="s">
        <v>13</v>
      </c>
      <c r="J2081" s="4">
        <f>SUMPRODUCT(--((A2081=$A$3:$A$2785)*$H$3:$H$2785&gt;H2081))+1</f>
        <v>30</v>
      </c>
    </row>
    <row r="2082" s="1" customFormat="true" customHeight="true" spans="1:10">
      <c r="A2082" s="4" t="str">
        <f t="shared" si="243"/>
        <v>027</v>
      </c>
      <c r="B2082" s="4" t="s">
        <v>39</v>
      </c>
      <c r="C2082" s="4" t="str">
        <f>"吴文敉"</f>
        <v>吴文敉</v>
      </c>
      <c r="D2082" s="4" t="str">
        <f>"2021020622"</f>
        <v>2021020622</v>
      </c>
      <c r="E2082" s="4" t="str">
        <f t="shared" si="249"/>
        <v>06</v>
      </c>
      <c r="F2082" s="4" t="str">
        <f>"22"</f>
        <v>22</v>
      </c>
      <c r="G2082" s="4" t="s">
        <v>27</v>
      </c>
      <c r="H2082" s="5">
        <v>0</v>
      </c>
      <c r="I2082" s="6" t="s">
        <v>13</v>
      </c>
      <c r="J2082" s="4">
        <f>SUMPRODUCT(--((A2082=$A$3:$A$2785)*$H$3:$H$2785&gt;H2082))+1</f>
        <v>30</v>
      </c>
    </row>
    <row r="2083" s="1" customFormat="true" customHeight="true" spans="1:10">
      <c r="A2083" s="4" t="str">
        <f t="shared" si="243"/>
        <v>027</v>
      </c>
      <c r="B2083" s="4" t="s">
        <v>39</v>
      </c>
      <c r="C2083" s="4" t="str">
        <f>"李佳一"</f>
        <v>李佳一</v>
      </c>
      <c r="D2083" s="4" t="str">
        <f>"2021020625"</f>
        <v>2021020625</v>
      </c>
      <c r="E2083" s="4" t="str">
        <f t="shared" si="249"/>
        <v>06</v>
      </c>
      <c r="F2083" s="4" t="str">
        <f>"25"</f>
        <v>25</v>
      </c>
      <c r="G2083" s="4" t="s">
        <v>27</v>
      </c>
      <c r="H2083" s="5">
        <v>0</v>
      </c>
      <c r="I2083" s="6" t="s">
        <v>13</v>
      </c>
      <c r="J2083" s="4">
        <f>SUMPRODUCT(--((A2083=$A$3:$A$2785)*$H$3:$H$2785&gt;H2083))+1</f>
        <v>30</v>
      </c>
    </row>
    <row r="2084" s="1" customFormat="true" customHeight="true" spans="1:10">
      <c r="A2084" s="4" t="str">
        <f t="shared" si="243"/>
        <v>027</v>
      </c>
      <c r="B2084" s="4" t="s">
        <v>39</v>
      </c>
      <c r="C2084" s="4" t="str">
        <f>"赵海钦"</f>
        <v>赵海钦</v>
      </c>
      <c r="D2084" s="4" t="str">
        <f>"2021020627"</f>
        <v>2021020627</v>
      </c>
      <c r="E2084" s="4" t="str">
        <f t="shared" si="249"/>
        <v>06</v>
      </c>
      <c r="F2084" s="4" t="str">
        <f>"27"</f>
        <v>27</v>
      </c>
      <c r="G2084" s="4" t="s">
        <v>27</v>
      </c>
      <c r="H2084" s="5">
        <v>0</v>
      </c>
      <c r="I2084" s="6" t="s">
        <v>13</v>
      </c>
      <c r="J2084" s="4">
        <f>SUMPRODUCT(--((A2084=$A$3:$A$2785)*$H$3:$H$2785&gt;H2084))+1</f>
        <v>30</v>
      </c>
    </row>
    <row r="2085" s="1" customFormat="true" customHeight="true" spans="1:10">
      <c r="A2085" s="4" t="str">
        <f t="shared" si="243"/>
        <v>027</v>
      </c>
      <c r="B2085" s="4" t="s">
        <v>39</v>
      </c>
      <c r="C2085" s="4" t="str">
        <f>"武一帆"</f>
        <v>武一帆</v>
      </c>
      <c r="D2085" s="4" t="str">
        <f>"2021020629"</f>
        <v>2021020629</v>
      </c>
      <c r="E2085" s="4" t="str">
        <f t="shared" si="249"/>
        <v>06</v>
      </c>
      <c r="F2085" s="4" t="str">
        <f>"29"</f>
        <v>29</v>
      </c>
      <c r="G2085" s="4" t="s">
        <v>27</v>
      </c>
      <c r="H2085" s="5">
        <v>0</v>
      </c>
      <c r="I2085" s="6" t="s">
        <v>13</v>
      </c>
      <c r="J2085" s="4">
        <f>SUMPRODUCT(--((A2085=$A$3:$A$2785)*$H$3:$H$2785&gt;H2085))+1</f>
        <v>30</v>
      </c>
    </row>
    <row r="2086" s="1" customFormat="true" customHeight="true" spans="1:10">
      <c r="A2086" s="4" t="str">
        <f t="shared" si="243"/>
        <v>027</v>
      </c>
      <c r="B2086" s="4" t="s">
        <v>39</v>
      </c>
      <c r="C2086" s="4" t="str">
        <f>"李佳佳"</f>
        <v>李佳佳</v>
      </c>
      <c r="D2086" s="4" t="str">
        <f>"2021020701"</f>
        <v>2021020701</v>
      </c>
      <c r="E2086" s="4" t="str">
        <f t="shared" ref="E2086:E2099" si="250">"07"</f>
        <v>07</v>
      </c>
      <c r="F2086" s="4" t="str">
        <f>"01"</f>
        <v>01</v>
      </c>
      <c r="G2086" s="4" t="s">
        <v>27</v>
      </c>
      <c r="H2086" s="5">
        <v>0</v>
      </c>
      <c r="I2086" s="6" t="s">
        <v>13</v>
      </c>
      <c r="J2086" s="4">
        <f>SUMPRODUCT(--((A2086=$A$3:$A$2785)*$H$3:$H$2785&gt;H2086))+1</f>
        <v>30</v>
      </c>
    </row>
    <row r="2087" s="1" customFormat="true" customHeight="true" spans="1:10">
      <c r="A2087" s="4" t="str">
        <f t="shared" si="243"/>
        <v>027</v>
      </c>
      <c r="B2087" s="4" t="s">
        <v>39</v>
      </c>
      <c r="C2087" s="4" t="str">
        <f>"刘叶"</f>
        <v>刘叶</v>
      </c>
      <c r="D2087" s="4" t="str">
        <f>"2021020702"</f>
        <v>2021020702</v>
      </c>
      <c r="E2087" s="4" t="str">
        <f t="shared" si="250"/>
        <v>07</v>
      </c>
      <c r="F2087" s="4" t="str">
        <f>"02"</f>
        <v>02</v>
      </c>
      <c r="G2087" s="4" t="s">
        <v>27</v>
      </c>
      <c r="H2087" s="5">
        <v>0</v>
      </c>
      <c r="I2087" s="6" t="s">
        <v>13</v>
      </c>
      <c r="J2087" s="4">
        <f>SUMPRODUCT(--((A2087=$A$3:$A$2785)*$H$3:$H$2785&gt;H2087))+1</f>
        <v>30</v>
      </c>
    </row>
    <row r="2088" s="1" customFormat="true" customHeight="true" spans="1:10">
      <c r="A2088" s="4" t="str">
        <f t="shared" si="243"/>
        <v>027</v>
      </c>
      <c r="B2088" s="4" t="s">
        <v>39</v>
      </c>
      <c r="C2088" s="4" t="str">
        <f>"杜小菊"</f>
        <v>杜小菊</v>
      </c>
      <c r="D2088" s="4" t="str">
        <f>"2021020706"</f>
        <v>2021020706</v>
      </c>
      <c r="E2088" s="4" t="str">
        <f t="shared" si="250"/>
        <v>07</v>
      </c>
      <c r="F2088" s="4" t="str">
        <f>"06"</f>
        <v>06</v>
      </c>
      <c r="G2088" s="4" t="s">
        <v>27</v>
      </c>
      <c r="H2088" s="5">
        <v>0</v>
      </c>
      <c r="I2088" s="6" t="s">
        <v>13</v>
      </c>
      <c r="J2088" s="4">
        <f>SUMPRODUCT(--((A2088=$A$3:$A$2785)*$H$3:$H$2785&gt;H2088))+1</f>
        <v>30</v>
      </c>
    </row>
    <row r="2089" s="1" customFormat="true" customHeight="true" spans="1:10">
      <c r="A2089" s="4" t="str">
        <f t="shared" si="243"/>
        <v>027</v>
      </c>
      <c r="B2089" s="4" t="s">
        <v>39</v>
      </c>
      <c r="C2089" s="4" t="str">
        <f>"谢林伶"</f>
        <v>谢林伶</v>
      </c>
      <c r="D2089" s="4" t="str">
        <f>"2021020709"</f>
        <v>2021020709</v>
      </c>
      <c r="E2089" s="4" t="str">
        <f t="shared" si="250"/>
        <v>07</v>
      </c>
      <c r="F2089" s="4" t="str">
        <f>"09"</f>
        <v>09</v>
      </c>
      <c r="G2089" s="4" t="s">
        <v>27</v>
      </c>
      <c r="H2089" s="5">
        <v>0</v>
      </c>
      <c r="I2089" s="6" t="s">
        <v>13</v>
      </c>
      <c r="J2089" s="4">
        <f>SUMPRODUCT(--((A2089=$A$3:$A$2785)*$H$3:$H$2785&gt;H2089))+1</f>
        <v>30</v>
      </c>
    </row>
    <row r="2090" s="1" customFormat="true" customHeight="true" spans="1:10">
      <c r="A2090" s="4" t="str">
        <f t="shared" si="243"/>
        <v>027</v>
      </c>
      <c r="B2090" s="4" t="s">
        <v>39</v>
      </c>
      <c r="C2090" s="4" t="str">
        <f>"石婷婷"</f>
        <v>石婷婷</v>
      </c>
      <c r="D2090" s="4" t="str">
        <f>"2021020710"</f>
        <v>2021020710</v>
      </c>
      <c r="E2090" s="4" t="str">
        <f t="shared" si="250"/>
        <v>07</v>
      </c>
      <c r="F2090" s="4" t="str">
        <f>"10"</f>
        <v>10</v>
      </c>
      <c r="G2090" s="4" t="s">
        <v>27</v>
      </c>
      <c r="H2090" s="5">
        <v>0</v>
      </c>
      <c r="I2090" s="6" t="s">
        <v>13</v>
      </c>
      <c r="J2090" s="4">
        <f>SUMPRODUCT(--((A2090=$A$3:$A$2785)*$H$3:$H$2785&gt;H2090))+1</f>
        <v>30</v>
      </c>
    </row>
    <row r="2091" s="1" customFormat="true" customHeight="true" spans="1:10">
      <c r="A2091" s="4" t="str">
        <f t="shared" si="243"/>
        <v>027</v>
      </c>
      <c r="B2091" s="4" t="s">
        <v>39</v>
      </c>
      <c r="C2091" s="4" t="str">
        <f>"石春"</f>
        <v>石春</v>
      </c>
      <c r="D2091" s="4" t="str">
        <f>"2021020713"</f>
        <v>2021020713</v>
      </c>
      <c r="E2091" s="4" t="str">
        <f t="shared" si="250"/>
        <v>07</v>
      </c>
      <c r="F2091" s="4" t="str">
        <f>"13"</f>
        <v>13</v>
      </c>
      <c r="G2091" s="4" t="s">
        <v>27</v>
      </c>
      <c r="H2091" s="5">
        <v>0</v>
      </c>
      <c r="I2091" s="6" t="s">
        <v>13</v>
      </c>
      <c r="J2091" s="4">
        <f>SUMPRODUCT(--((A2091=$A$3:$A$2785)*$H$3:$H$2785&gt;H2091))+1</f>
        <v>30</v>
      </c>
    </row>
    <row r="2092" s="1" customFormat="true" customHeight="true" spans="1:10">
      <c r="A2092" s="4" t="str">
        <f t="shared" si="243"/>
        <v>027</v>
      </c>
      <c r="B2092" s="4" t="s">
        <v>39</v>
      </c>
      <c r="C2092" s="4" t="str">
        <f>"余茜"</f>
        <v>余茜</v>
      </c>
      <c r="D2092" s="4" t="str">
        <f>"2021020714"</f>
        <v>2021020714</v>
      </c>
      <c r="E2092" s="4" t="str">
        <f t="shared" si="250"/>
        <v>07</v>
      </c>
      <c r="F2092" s="4" t="str">
        <f>"14"</f>
        <v>14</v>
      </c>
      <c r="G2092" s="4" t="s">
        <v>27</v>
      </c>
      <c r="H2092" s="5">
        <v>0</v>
      </c>
      <c r="I2092" s="6" t="s">
        <v>13</v>
      </c>
      <c r="J2092" s="4">
        <f>SUMPRODUCT(--((A2092=$A$3:$A$2785)*$H$3:$H$2785&gt;H2092))+1</f>
        <v>30</v>
      </c>
    </row>
    <row r="2093" s="1" customFormat="true" customHeight="true" spans="1:10">
      <c r="A2093" s="4" t="str">
        <f t="shared" si="243"/>
        <v>027</v>
      </c>
      <c r="B2093" s="4" t="s">
        <v>39</v>
      </c>
      <c r="C2093" s="4" t="str">
        <f>"彭婷婷"</f>
        <v>彭婷婷</v>
      </c>
      <c r="D2093" s="4" t="str">
        <f>"2021020716"</f>
        <v>2021020716</v>
      </c>
      <c r="E2093" s="4" t="str">
        <f t="shared" si="250"/>
        <v>07</v>
      </c>
      <c r="F2093" s="4" t="str">
        <f>"16"</f>
        <v>16</v>
      </c>
      <c r="G2093" s="4" t="s">
        <v>27</v>
      </c>
      <c r="H2093" s="5">
        <v>0</v>
      </c>
      <c r="I2093" s="6" t="s">
        <v>13</v>
      </c>
      <c r="J2093" s="4">
        <f>SUMPRODUCT(--((A2093=$A$3:$A$2785)*$H$3:$H$2785&gt;H2093))+1</f>
        <v>30</v>
      </c>
    </row>
    <row r="2094" s="1" customFormat="true" customHeight="true" spans="1:10">
      <c r="A2094" s="4" t="str">
        <f t="shared" si="243"/>
        <v>027</v>
      </c>
      <c r="B2094" s="4" t="s">
        <v>39</v>
      </c>
      <c r="C2094" s="4" t="str">
        <f>"陈婷"</f>
        <v>陈婷</v>
      </c>
      <c r="D2094" s="4" t="str">
        <f>"2021020719"</f>
        <v>2021020719</v>
      </c>
      <c r="E2094" s="4" t="str">
        <f t="shared" si="250"/>
        <v>07</v>
      </c>
      <c r="F2094" s="4" t="str">
        <f>"19"</f>
        <v>19</v>
      </c>
      <c r="G2094" s="4" t="s">
        <v>27</v>
      </c>
      <c r="H2094" s="5">
        <v>0</v>
      </c>
      <c r="I2094" s="6" t="s">
        <v>13</v>
      </c>
      <c r="J2094" s="4">
        <f>SUMPRODUCT(--((A2094=$A$3:$A$2785)*$H$3:$H$2785&gt;H2094))+1</f>
        <v>30</v>
      </c>
    </row>
    <row r="2095" s="1" customFormat="true" customHeight="true" spans="1:10">
      <c r="A2095" s="4" t="str">
        <f t="shared" si="243"/>
        <v>027</v>
      </c>
      <c r="B2095" s="4" t="s">
        <v>39</v>
      </c>
      <c r="C2095" s="4" t="str">
        <f>"蒲雨薇"</f>
        <v>蒲雨薇</v>
      </c>
      <c r="D2095" s="4" t="str">
        <f>"2021020725"</f>
        <v>2021020725</v>
      </c>
      <c r="E2095" s="4" t="str">
        <f t="shared" si="250"/>
        <v>07</v>
      </c>
      <c r="F2095" s="4" t="str">
        <f>"25"</f>
        <v>25</v>
      </c>
      <c r="G2095" s="4" t="s">
        <v>27</v>
      </c>
      <c r="H2095" s="5">
        <v>0</v>
      </c>
      <c r="I2095" s="6" t="s">
        <v>13</v>
      </c>
      <c r="J2095" s="4">
        <f>SUMPRODUCT(--((A2095=$A$3:$A$2785)*$H$3:$H$2785&gt;H2095))+1</f>
        <v>30</v>
      </c>
    </row>
    <row r="2096" s="1" customFormat="true" customHeight="true" spans="1:10">
      <c r="A2096" s="4" t="str">
        <f t="shared" si="243"/>
        <v>027</v>
      </c>
      <c r="B2096" s="4" t="s">
        <v>39</v>
      </c>
      <c r="C2096" s="4" t="str">
        <f>"唐薇"</f>
        <v>唐薇</v>
      </c>
      <c r="D2096" s="4" t="str">
        <f>"2021020726"</f>
        <v>2021020726</v>
      </c>
      <c r="E2096" s="4" t="str">
        <f t="shared" si="250"/>
        <v>07</v>
      </c>
      <c r="F2096" s="4" t="str">
        <f>"26"</f>
        <v>26</v>
      </c>
      <c r="G2096" s="4" t="s">
        <v>27</v>
      </c>
      <c r="H2096" s="5">
        <v>0</v>
      </c>
      <c r="I2096" s="6" t="s">
        <v>13</v>
      </c>
      <c r="J2096" s="4">
        <f>SUMPRODUCT(--((A2096=$A$3:$A$2785)*$H$3:$H$2785&gt;H2096))+1</f>
        <v>30</v>
      </c>
    </row>
    <row r="2097" s="1" customFormat="true" customHeight="true" spans="1:10">
      <c r="A2097" s="4" t="str">
        <f t="shared" si="243"/>
        <v>027</v>
      </c>
      <c r="B2097" s="4" t="s">
        <v>39</v>
      </c>
      <c r="C2097" s="4" t="str">
        <f>"张金林"</f>
        <v>张金林</v>
      </c>
      <c r="D2097" s="4" t="str">
        <f>"2021020728"</f>
        <v>2021020728</v>
      </c>
      <c r="E2097" s="4" t="str">
        <f t="shared" si="250"/>
        <v>07</v>
      </c>
      <c r="F2097" s="4" t="str">
        <f>"28"</f>
        <v>28</v>
      </c>
      <c r="G2097" s="4" t="s">
        <v>27</v>
      </c>
      <c r="H2097" s="5">
        <v>0</v>
      </c>
      <c r="I2097" s="6" t="s">
        <v>13</v>
      </c>
      <c r="J2097" s="4">
        <f>SUMPRODUCT(--((A2097=$A$3:$A$2785)*$H$3:$H$2785&gt;H2097))+1</f>
        <v>30</v>
      </c>
    </row>
    <row r="2098" s="1" customFormat="true" customHeight="true" spans="1:10">
      <c r="A2098" s="4" t="str">
        <f t="shared" si="243"/>
        <v>027</v>
      </c>
      <c r="B2098" s="4" t="s">
        <v>39</v>
      </c>
      <c r="C2098" s="4" t="str">
        <f>"冯可"</f>
        <v>冯可</v>
      </c>
      <c r="D2098" s="4" t="str">
        <f>"2021020729"</f>
        <v>2021020729</v>
      </c>
      <c r="E2098" s="4" t="str">
        <f t="shared" si="250"/>
        <v>07</v>
      </c>
      <c r="F2098" s="4" t="str">
        <f>"29"</f>
        <v>29</v>
      </c>
      <c r="G2098" s="4" t="s">
        <v>27</v>
      </c>
      <c r="H2098" s="5">
        <v>0</v>
      </c>
      <c r="I2098" s="6" t="s">
        <v>13</v>
      </c>
      <c r="J2098" s="4">
        <f>SUMPRODUCT(--((A2098=$A$3:$A$2785)*$H$3:$H$2785&gt;H2098))+1</f>
        <v>30</v>
      </c>
    </row>
    <row r="2099" s="1" customFormat="true" customHeight="true" spans="1:10">
      <c r="A2099" s="4" t="str">
        <f t="shared" si="243"/>
        <v>027</v>
      </c>
      <c r="B2099" s="4" t="s">
        <v>39</v>
      </c>
      <c r="C2099" s="4" t="str">
        <f>"甘怡"</f>
        <v>甘怡</v>
      </c>
      <c r="D2099" s="4" t="str">
        <f>"2021020730"</f>
        <v>2021020730</v>
      </c>
      <c r="E2099" s="4" t="str">
        <f t="shared" si="250"/>
        <v>07</v>
      </c>
      <c r="F2099" s="4" t="str">
        <f>"30"</f>
        <v>30</v>
      </c>
      <c r="G2099" s="4" t="s">
        <v>27</v>
      </c>
      <c r="H2099" s="5">
        <v>0</v>
      </c>
      <c r="I2099" s="6" t="s">
        <v>13</v>
      </c>
      <c r="J2099" s="4">
        <f>SUMPRODUCT(--((A2099=$A$3:$A$2785)*$H$3:$H$2785&gt;H2099))+1</f>
        <v>30</v>
      </c>
    </row>
    <row r="2100" s="1" customFormat="true" customHeight="true" spans="1:10">
      <c r="A2100" s="4" t="str">
        <f t="shared" si="243"/>
        <v>027</v>
      </c>
      <c r="B2100" s="4" t="s">
        <v>39</v>
      </c>
      <c r="C2100" s="4" t="str">
        <f>"潘旭"</f>
        <v>潘旭</v>
      </c>
      <c r="D2100" s="4" t="str">
        <f>"2021020802"</f>
        <v>2021020802</v>
      </c>
      <c r="E2100" s="4" t="str">
        <f t="shared" ref="E2100:E2105" si="251">"08"</f>
        <v>08</v>
      </c>
      <c r="F2100" s="4" t="str">
        <f>"02"</f>
        <v>02</v>
      </c>
      <c r="G2100" s="4" t="s">
        <v>27</v>
      </c>
      <c r="H2100" s="5">
        <v>0</v>
      </c>
      <c r="I2100" s="6" t="s">
        <v>13</v>
      </c>
      <c r="J2100" s="4">
        <f>SUMPRODUCT(--((A2100=$A$3:$A$2785)*$H$3:$H$2785&gt;H2100))+1</f>
        <v>30</v>
      </c>
    </row>
    <row r="2101" s="1" customFormat="true" customHeight="true" spans="1:10">
      <c r="A2101" s="4" t="str">
        <f t="shared" si="243"/>
        <v>027</v>
      </c>
      <c r="B2101" s="4" t="s">
        <v>39</v>
      </c>
      <c r="C2101" s="4" t="str">
        <f>"黄虹"</f>
        <v>黄虹</v>
      </c>
      <c r="D2101" s="4" t="str">
        <f>"2021020803"</f>
        <v>2021020803</v>
      </c>
      <c r="E2101" s="4" t="str">
        <f t="shared" si="251"/>
        <v>08</v>
      </c>
      <c r="F2101" s="4" t="str">
        <f>"03"</f>
        <v>03</v>
      </c>
      <c r="G2101" s="4" t="s">
        <v>27</v>
      </c>
      <c r="H2101" s="5">
        <v>0</v>
      </c>
      <c r="I2101" s="6" t="s">
        <v>13</v>
      </c>
      <c r="J2101" s="4">
        <f>SUMPRODUCT(--((A2101=$A$3:$A$2785)*$H$3:$H$2785&gt;H2101))+1</f>
        <v>30</v>
      </c>
    </row>
    <row r="2102" s="1" customFormat="true" customHeight="true" spans="1:10">
      <c r="A2102" s="4" t="str">
        <f t="shared" ref="A2102:A2128" si="252">"028"</f>
        <v>028</v>
      </c>
      <c r="B2102" s="4" t="s">
        <v>40</v>
      </c>
      <c r="C2102" s="4" t="str">
        <f>"唐诗荟"</f>
        <v>唐诗荟</v>
      </c>
      <c r="D2102" s="4" t="str">
        <f>"2021020827"</f>
        <v>2021020827</v>
      </c>
      <c r="E2102" s="4" t="str">
        <f t="shared" si="251"/>
        <v>08</v>
      </c>
      <c r="F2102" s="4" t="str">
        <f>"27"</f>
        <v>27</v>
      </c>
      <c r="G2102" s="4" t="s">
        <v>27</v>
      </c>
      <c r="H2102" s="5">
        <v>70.25</v>
      </c>
      <c r="I2102" s="4"/>
      <c r="J2102" s="4">
        <f>SUMPRODUCT(--((A2102=$A$3:$A$2785)*$H$3:$H$2785&gt;H2102))+1</f>
        <v>1</v>
      </c>
    </row>
    <row r="2103" s="1" customFormat="true" customHeight="true" spans="1:10">
      <c r="A2103" s="4" t="str">
        <f t="shared" si="252"/>
        <v>028</v>
      </c>
      <c r="B2103" s="4" t="s">
        <v>40</v>
      </c>
      <c r="C2103" s="4" t="str">
        <f>"宾宇"</f>
        <v>宾宇</v>
      </c>
      <c r="D2103" s="4" t="str">
        <f>"2021020823"</f>
        <v>2021020823</v>
      </c>
      <c r="E2103" s="4" t="str">
        <f t="shared" si="251"/>
        <v>08</v>
      </c>
      <c r="F2103" s="4" t="str">
        <f>"23"</f>
        <v>23</v>
      </c>
      <c r="G2103" s="4" t="s">
        <v>27</v>
      </c>
      <c r="H2103" s="5">
        <v>69.2</v>
      </c>
      <c r="I2103" s="4"/>
      <c r="J2103" s="4">
        <f>SUMPRODUCT(--((A2103=$A$3:$A$2785)*$H$3:$H$2785&gt;H2103))+1</f>
        <v>2</v>
      </c>
    </row>
    <row r="2104" s="1" customFormat="true" customHeight="true" spans="1:10">
      <c r="A2104" s="4" t="str">
        <f t="shared" si="252"/>
        <v>028</v>
      </c>
      <c r="B2104" s="4" t="s">
        <v>40</v>
      </c>
      <c r="C2104" s="4" t="str">
        <f>"杨慧"</f>
        <v>杨慧</v>
      </c>
      <c r="D2104" s="4" t="str">
        <f>"2021020818"</f>
        <v>2021020818</v>
      </c>
      <c r="E2104" s="4" t="str">
        <f t="shared" si="251"/>
        <v>08</v>
      </c>
      <c r="F2104" s="4" t="str">
        <f>"18"</f>
        <v>18</v>
      </c>
      <c r="G2104" s="4" t="s">
        <v>27</v>
      </c>
      <c r="H2104" s="5">
        <v>67.7</v>
      </c>
      <c r="I2104" s="4"/>
      <c r="J2104" s="4">
        <f>SUMPRODUCT(--((A2104=$A$3:$A$2785)*$H$3:$H$2785&gt;H2104))+1</f>
        <v>3</v>
      </c>
    </row>
    <row r="2105" s="1" customFormat="true" customHeight="true" spans="1:10">
      <c r="A2105" s="4" t="str">
        <f t="shared" si="252"/>
        <v>028</v>
      </c>
      <c r="B2105" s="4" t="s">
        <v>40</v>
      </c>
      <c r="C2105" s="4" t="str">
        <f>"陈菁"</f>
        <v>陈菁</v>
      </c>
      <c r="D2105" s="4" t="str">
        <f>"2021020820"</f>
        <v>2021020820</v>
      </c>
      <c r="E2105" s="4" t="str">
        <f t="shared" si="251"/>
        <v>08</v>
      </c>
      <c r="F2105" s="4" t="str">
        <f>"20"</f>
        <v>20</v>
      </c>
      <c r="G2105" s="4" t="s">
        <v>27</v>
      </c>
      <c r="H2105" s="5">
        <v>67.2</v>
      </c>
      <c r="I2105" s="4"/>
      <c r="J2105" s="4">
        <f>SUMPRODUCT(--((A2105=$A$3:$A$2785)*$H$3:$H$2785&gt;H2105))+1</f>
        <v>4</v>
      </c>
    </row>
    <row r="2106" s="1" customFormat="true" customHeight="true" spans="1:10">
      <c r="A2106" s="4" t="str">
        <f t="shared" si="252"/>
        <v>028</v>
      </c>
      <c r="B2106" s="4" t="s">
        <v>40</v>
      </c>
      <c r="C2106" s="4" t="str">
        <f>"张凡"</f>
        <v>张凡</v>
      </c>
      <c r="D2106" s="4" t="str">
        <f>"2021020901"</f>
        <v>2021020901</v>
      </c>
      <c r="E2106" s="4" t="str">
        <f>"09"</f>
        <v>09</v>
      </c>
      <c r="F2106" s="4" t="str">
        <f>"01"</f>
        <v>01</v>
      </c>
      <c r="G2106" s="4" t="s">
        <v>27</v>
      </c>
      <c r="H2106" s="5">
        <v>67.2</v>
      </c>
      <c r="I2106" s="4"/>
      <c r="J2106" s="4">
        <f>SUMPRODUCT(--((A2106=$A$3:$A$2785)*$H$3:$H$2785&gt;H2106))+1</f>
        <v>4</v>
      </c>
    </row>
    <row r="2107" s="1" customFormat="true" customHeight="true" spans="1:10">
      <c r="A2107" s="4" t="str">
        <f t="shared" si="252"/>
        <v>028</v>
      </c>
      <c r="B2107" s="4" t="s">
        <v>40</v>
      </c>
      <c r="C2107" s="4" t="str">
        <f>"邓杰玉"</f>
        <v>邓杰玉</v>
      </c>
      <c r="D2107" s="4" t="str">
        <f>"2021020806"</f>
        <v>2021020806</v>
      </c>
      <c r="E2107" s="4" t="str">
        <f t="shared" ref="E2107:E2128" si="253">"08"</f>
        <v>08</v>
      </c>
      <c r="F2107" s="4" t="str">
        <f>"06"</f>
        <v>06</v>
      </c>
      <c r="G2107" s="4" t="s">
        <v>27</v>
      </c>
      <c r="H2107" s="5">
        <v>66.35</v>
      </c>
      <c r="I2107" s="4"/>
      <c r="J2107" s="4">
        <f>SUMPRODUCT(--((A2107=$A$3:$A$2785)*$H$3:$H$2785&gt;H2107))+1</f>
        <v>6</v>
      </c>
    </row>
    <row r="2108" s="1" customFormat="true" customHeight="true" spans="1:10">
      <c r="A2108" s="4" t="str">
        <f t="shared" si="252"/>
        <v>028</v>
      </c>
      <c r="B2108" s="4" t="s">
        <v>40</v>
      </c>
      <c r="C2108" s="4" t="str">
        <f>"徐林鹏"</f>
        <v>徐林鹏</v>
      </c>
      <c r="D2108" s="4" t="str">
        <f>"2021020826"</f>
        <v>2021020826</v>
      </c>
      <c r="E2108" s="4" t="str">
        <f t="shared" si="253"/>
        <v>08</v>
      </c>
      <c r="F2108" s="4" t="str">
        <f>"26"</f>
        <v>26</v>
      </c>
      <c r="G2108" s="4" t="s">
        <v>27</v>
      </c>
      <c r="H2108" s="5">
        <v>66</v>
      </c>
      <c r="I2108" s="4"/>
      <c r="J2108" s="4">
        <f>SUMPRODUCT(--((A2108=$A$3:$A$2785)*$H$3:$H$2785&gt;H2108))+1</f>
        <v>7</v>
      </c>
    </row>
    <row r="2109" s="1" customFormat="true" customHeight="true" spans="1:10">
      <c r="A2109" s="4" t="str">
        <f t="shared" si="252"/>
        <v>028</v>
      </c>
      <c r="B2109" s="4" t="s">
        <v>40</v>
      </c>
      <c r="C2109" s="4" t="str">
        <f>"朱薇"</f>
        <v>朱薇</v>
      </c>
      <c r="D2109" s="4" t="str">
        <f>"2021020807"</f>
        <v>2021020807</v>
      </c>
      <c r="E2109" s="4" t="str">
        <f t="shared" si="253"/>
        <v>08</v>
      </c>
      <c r="F2109" s="4" t="str">
        <f>"07"</f>
        <v>07</v>
      </c>
      <c r="G2109" s="4" t="s">
        <v>27</v>
      </c>
      <c r="H2109" s="5">
        <v>65.1</v>
      </c>
      <c r="I2109" s="4"/>
      <c r="J2109" s="4">
        <f>SUMPRODUCT(--((A2109=$A$3:$A$2785)*$H$3:$H$2785&gt;H2109))+1</f>
        <v>8</v>
      </c>
    </row>
    <row r="2110" s="1" customFormat="true" customHeight="true" spans="1:10">
      <c r="A2110" s="4" t="str">
        <f t="shared" si="252"/>
        <v>028</v>
      </c>
      <c r="B2110" s="4" t="s">
        <v>40</v>
      </c>
      <c r="C2110" s="4" t="str">
        <f>"黄佶"</f>
        <v>黄佶</v>
      </c>
      <c r="D2110" s="4" t="str">
        <f>"2021020829"</f>
        <v>2021020829</v>
      </c>
      <c r="E2110" s="4" t="str">
        <f t="shared" si="253"/>
        <v>08</v>
      </c>
      <c r="F2110" s="4" t="str">
        <f>"29"</f>
        <v>29</v>
      </c>
      <c r="G2110" s="4" t="s">
        <v>27</v>
      </c>
      <c r="H2110" s="5">
        <v>64.05</v>
      </c>
      <c r="I2110" s="4"/>
      <c r="J2110" s="4">
        <f>SUMPRODUCT(--((A2110=$A$3:$A$2785)*$H$3:$H$2785&gt;H2110))+1</f>
        <v>9</v>
      </c>
    </row>
    <row r="2111" s="1" customFormat="true" customHeight="true" spans="1:10">
      <c r="A2111" s="4" t="str">
        <f t="shared" si="252"/>
        <v>028</v>
      </c>
      <c r="B2111" s="4" t="s">
        <v>40</v>
      </c>
      <c r="C2111" s="4" t="str">
        <f>"付杨"</f>
        <v>付杨</v>
      </c>
      <c r="D2111" s="4" t="str">
        <f>"2021020810"</f>
        <v>2021020810</v>
      </c>
      <c r="E2111" s="4" t="str">
        <f t="shared" si="253"/>
        <v>08</v>
      </c>
      <c r="F2111" s="4" t="str">
        <f>"10"</f>
        <v>10</v>
      </c>
      <c r="G2111" s="4" t="s">
        <v>27</v>
      </c>
      <c r="H2111" s="5">
        <v>61.3</v>
      </c>
      <c r="I2111" s="4"/>
      <c r="J2111" s="4">
        <f>SUMPRODUCT(--((A2111=$A$3:$A$2785)*$H$3:$H$2785&gt;H2111))+1</f>
        <v>10</v>
      </c>
    </row>
    <row r="2112" s="1" customFormat="true" customHeight="true" spans="1:10">
      <c r="A2112" s="4" t="str">
        <f t="shared" si="252"/>
        <v>028</v>
      </c>
      <c r="B2112" s="4" t="s">
        <v>40</v>
      </c>
      <c r="C2112" s="4" t="str">
        <f>"姚欣雨"</f>
        <v>姚欣雨</v>
      </c>
      <c r="D2112" s="4" t="str">
        <f>"2021020821"</f>
        <v>2021020821</v>
      </c>
      <c r="E2112" s="4" t="str">
        <f t="shared" si="253"/>
        <v>08</v>
      </c>
      <c r="F2112" s="4" t="str">
        <f>"21"</f>
        <v>21</v>
      </c>
      <c r="G2112" s="4" t="s">
        <v>27</v>
      </c>
      <c r="H2112" s="5">
        <v>58.75</v>
      </c>
      <c r="I2112" s="4"/>
      <c r="J2112" s="4">
        <f>SUMPRODUCT(--((A2112=$A$3:$A$2785)*$H$3:$H$2785&gt;H2112))+1</f>
        <v>11</v>
      </c>
    </row>
    <row r="2113" s="1" customFormat="true" customHeight="true" spans="1:10">
      <c r="A2113" s="4" t="str">
        <f t="shared" si="252"/>
        <v>028</v>
      </c>
      <c r="B2113" s="4" t="s">
        <v>40</v>
      </c>
      <c r="C2113" s="4" t="str">
        <f>"彭乐月"</f>
        <v>彭乐月</v>
      </c>
      <c r="D2113" s="4" t="str">
        <f>"2021020817"</f>
        <v>2021020817</v>
      </c>
      <c r="E2113" s="4" t="str">
        <f t="shared" si="253"/>
        <v>08</v>
      </c>
      <c r="F2113" s="4" t="str">
        <f>"17"</f>
        <v>17</v>
      </c>
      <c r="G2113" s="4" t="s">
        <v>27</v>
      </c>
      <c r="H2113" s="5">
        <v>57.7</v>
      </c>
      <c r="I2113" s="4"/>
      <c r="J2113" s="4">
        <f>SUMPRODUCT(--((A2113=$A$3:$A$2785)*$H$3:$H$2785&gt;H2113))+1</f>
        <v>12</v>
      </c>
    </row>
    <row r="2114" s="1" customFormat="true" customHeight="true" spans="1:10">
      <c r="A2114" s="4" t="str">
        <f t="shared" si="252"/>
        <v>028</v>
      </c>
      <c r="B2114" s="4" t="s">
        <v>40</v>
      </c>
      <c r="C2114" s="4" t="str">
        <f>"粟诗蕊"</f>
        <v>粟诗蕊</v>
      </c>
      <c r="D2114" s="4" t="str">
        <f>"2021020825"</f>
        <v>2021020825</v>
      </c>
      <c r="E2114" s="4" t="str">
        <f t="shared" si="253"/>
        <v>08</v>
      </c>
      <c r="F2114" s="4" t="str">
        <f>"25"</f>
        <v>25</v>
      </c>
      <c r="G2114" s="4" t="s">
        <v>27</v>
      </c>
      <c r="H2114" s="5">
        <v>56.5</v>
      </c>
      <c r="I2114" s="4"/>
      <c r="J2114" s="4">
        <f>SUMPRODUCT(--((A2114=$A$3:$A$2785)*$H$3:$H$2785&gt;H2114))+1</f>
        <v>13</v>
      </c>
    </row>
    <row r="2115" s="1" customFormat="true" customHeight="true" spans="1:10">
      <c r="A2115" s="4" t="str">
        <f t="shared" si="252"/>
        <v>028</v>
      </c>
      <c r="B2115" s="4" t="s">
        <v>40</v>
      </c>
      <c r="C2115" s="4" t="str">
        <f>"周珍"</f>
        <v>周珍</v>
      </c>
      <c r="D2115" s="4" t="str">
        <f>"2021020816"</f>
        <v>2021020816</v>
      </c>
      <c r="E2115" s="4" t="str">
        <f t="shared" si="253"/>
        <v>08</v>
      </c>
      <c r="F2115" s="4" t="str">
        <f>"16"</f>
        <v>16</v>
      </c>
      <c r="G2115" s="4" t="s">
        <v>27</v>
      </c>
      <c r="H2115" s="5">
        <v>56.1</v>
      </c>
      <c r="I2115" s="4"/>
      <c r="J2115" s="4">
        <f>SUMPRODUCT(--((A2115=$A$3:$A$2785)*$H$3:$H$2785&gt;H2115))+1</f>
        <v>14</v>
      </c>
    </row>
    <row r="2116" s="1" customFormat="true" customHeight="true" spans="1:10">
      <c r="A2116" s="4" t="str">
        <f t="shared" si="252"/>
        <v>028</v>
      </c>
      <c r="B2116" s="4" t="s">
        <v>40</v>
      </c>
      <c r="C2116" s="4" t="str">
        <f>"李敏"</f>
        <v>李敏</v>
      </c>
      <c r="D2116" s="4" t="str">
        <f>"2021020808"</f>
        <v>2021020808</v>
      </c>
      <c r="E2116" s="4" t="str">
        <f t="shared" si="253"/>
        <v>08</v>
      </c>
      <c r="F2116" s="4" t="str">
        <f>"08"</f>
        <v>08</v>
      </c>
      <c r="G2116" s="4" t="s">
        <v>27</v>
      </c>
      <c r="H2116" s="5">
        <v>55.2</v>
      </c>
      <c r="I2116" s="4"/>
      <c r="J2116" s="4">
        <f>SUMPRODUCT(--((A2116=$A$3:$A$2785)*$H$3:$H$2785&gt;H2116))+1</f>
        <v>15</v>
      </c>
    </row>
    <row r="2117" s="1" customFormat="true" customHeight="true" spans="1:10">
      <c r="A2117" s="4" t="str">
        <f t="shared" si="252"/>
        <v>028</v>
      </c>
      <c r="B2117" s="4" t="s">
        <v>40</v>
      </c>
      <c r="C2117" s="4" t="str">
        <f>"聂婷"</f>
        <v>聂婷</v>
      </c>
      <c r="D2117" s="4" t="str">
        <f>"2021020824"</f>
        <v>2021020824</v>
      </c>
      <c r="E2117" s="4" t="str">
        <f t="shared" si="253"/>
        <v>08</v>
      </c>
      <c r="F2117" s="4" t="str">
        <f>"24"</f>
        <v>24</v>
      </c>
      <c r="G2117" s="4" t="s">
        <v>27</v>
      </c>
      <c r="H2117" s="5">
        <v>54.7</v>
      </c>
      <c r="I2117" s="4"/>
      <c r="J2117" s="4">
        <f>SUMPRODUCT(--((A2117=$A$3:$A$2785)*$H$3:$H$2785&gt;H2117))+1</f>
        <v>16</v>
      </c>
    </row>
    <row r="2118" s="1" customFormat="true" customHeight="true" spans="1:10">
      <c r="A2118" s="4" t="str">
        <f t="shared" si="252"/>
        <v>028</v>
      </c>
      <c r="B2118" s="4" t="s">
        <v>40</v>
      </c>
      <c r="C2118" s="4" t="str">
        <f>"杨敏"</f>
        <v>杨敏</v>
      </c>
      <c r="D2118" s="4" t="str">
        <f>"2021020819"</f>
        <v>2021020819</v>
      </c>
      <c r="E2118" s="4" t="str">
        <f t="shared" si="253"/>
        <v>08</v>
      </c>
      <c r="F2118" s="4" t="str">
        <f>"19"</f>
        <v>19</v>
      </c>
      <c r="G2118" s="4" t="s">
        <v>27</v>
      </c>
      <c r="H2118" s="5">
        <v>53.95</v>
      </c>
      <c r="I2118" s="4"/>
      <c r="J2118" s="4">
        <f>SUMPRODUCT(--((A2118=$A$3:$A$2785)*$H$3:$H$2785&gt;H2118))+1</f>
        <v>17</v>
      </c>
    </row>
    <row r="2119" s="1" customFormat="true" customHeight="true" spans="1:10">
      <c r="A2119" s="4" t="str">
        <f t="shared" si="252"/>
        <v>028</v>
      </c>
      <c r="B2119" s="4" t="s">
        <v>40</v>
      </c>
      <c r="C2119" s="4" t="str">
        <f>"熊芳怡"</f>
        <v>熊芳怡</v>
      </c>
      <c r="D2119" s="4" t="str">
        <f>"2021020812"</f>
        <v>2021020812</v>
      </c>
      <c r="E2119" s="4" t="str">
        <f t="shared" si="253"/>
        <v>08</v>
      </c>
      <c r="F2119" s="4" t="str">
        <f>"12"</f>
        <v>12</v>
      </c>
      <c r="G2119" s="4" t="s">
        <v>27</v>
      </c>
      <c r="H2119" s="5">
        <v>49.1</v>
      </c>
      <c r="I2119" s="4"/>
      <c r="J2119" s="4">
        <f>SUMPRODUCT(--((A2119=$A$3:$A$2785)*$H$3:$H$2785&gt;H2119))+1</f>
        <v>18</v>
      </c>
    </row>
    <row r="2120" s="1" customFormat="true" customHeight="true" spans="1:10">
      <c r="A2120" s="4" t="str">
        <f t="shared" si="252"/>
        <v>028</v>
      </c>
      <c r="B2120" s="4" t="s">
        <v>40</v>
      </c>
      <c r="C2120" s="4" t="str">
        <f>"肖叶婷"</f>
        <v>肖叶婷</v>
      </c>
      <c r="D2120" s="4" t="str">
        <f>"2021020828"</f>
        <v>2021020828</v>
      </c>
      <c r="E2120" s="4" t="str">
        <f t="shared" si="253"/>
        <v>08</v>
      </c>
      <c r="F2120" s="4" t="str">
        <f>"28"</f>
        <v>28</v>
      </c>
      <c r="G2120" s="4" t="s">
        <v>27</v>
      </c>
      <c r="H2120" s="5">
        <v>45.75</v>
      </c>
      <c r="I2120" s="4"/>
      <c r="J2120" s="4">
        <f>SUMPRODUCT(--((A2120=$A$3:$A$2785)*$H$3:$H$2785&gt;H2120))+1</f>
        <v>19</v>
      </c>
    </row>
    <row r="2121" s="1" customFormat="true" customHeight="true" spans="1:10">
      <c r="A2121" s="4" t="str">
        <f t="shared" si="252"/>
        <v>028</v>
      </c>
      <c r="B2121" s="4" t="s">
        <v>40</v>
      </c>
      <c r="C2121" s="4" t="str">
        <f>"舒苑"</f>
        <v>舒苑</v>
      </c>
      <c r="D2121" s="4" t="str">
        <f>"2021020805"</f>
        <v>2021020805</v>
      </c>
      <c r="E2121" s="4" t="str">
        <f t="shared" si="253"/>
        <v>08</v>
      </c>
      <c r="F2121" s="4" t="str">
        <f>"05"</f>
        <v>05</v>
      </c>
      <c r="G2121" s="4" t="s">
        <v>27</v>
      </c>
      <c r="H2121" s="5">
        <v>0</v>
      </c>
      <c r="I2121" s="6" t="s">
        <v>13</v>
      </c>
      <c r="J2121" s="4">
        <f>SUMPRODUCT(--((A2121=$A$3:$A$2785)*$H$3:$H$2785&gt;H2121))+1</f>
        <v>20</v>
      </c>
    </row>
    <row r="2122" s="1" customFormat="true" customHeight="true" spans="1:10">
      <c r="A2122" s="4" t="str">
        <f t="shared" si="252"/>
        <v>028</v>
      </c>
      <c r="B2122" s="4" t="s">
        <v>40</v>
      </c>
      <c r="C2122" s="4" t="str">
        <f>"刘倩"</f>
        <v>刘倩</v>
      </c>
      <c r="D2122" s="4" t="str">
        <f>"2021020809"</f>
        <v>2021020809</v>
      </c>
      <c r="E2122" s="4" t="str">
        <f t="shared" si="253"/>
        <v>08</v>
      </c>
      <c r="F2122" s="4" t="str">
        <f>"09"</f>
        <v>09</v>
      </c>
      <c r="G2122" s="4" t="s">
        <v>27</v>
      </c>
      <c r="H2122" s="5">
        <v>0</v>
      </c>
      <c r="I2122" s="6" t="s">
        <v>13</v>
      </c>
      <c r="J2122" s="4">
        <f>SUMPRODUCT(--((A2122=$A$3:$A$2785)*$H$3:$H$2785&gt;H2122))+1</f>
        <v>20</v>
      </c>
    </row>
    <row r="2123" s="1" customFormat="true" customHeight="true" spans="1:10">
      <c r="A2123" s="4" t="str">
        <f t="shared" si="252"/>
        <v>028</v>
      </c>
      <c r="B2123" s="4" t="s">
        <v>40</v>
      </c>
      <c r="C2123" s="4" t="str">
        <f>"丁玲"</f>
        <v>丁玲</v>
      </c>
      <c r="D2123" s="4" t="str">
        <f>"2021020811"</f>
        <v>2021020811</v>
      </c>
      <c r="E2123" s="4" t="str">
        <f t="shared" si="253"/>
        <v>08</v>
      </c>
      <c r="F2123" s="4" t="str">
        <f>"11"</f>
        <v>11</v>
      </c>
      <c r="G2123" s="4" t="s">
        <v>27</v>
      </c>
      <c r="H2123" s="5">
        <v>0</v>
      </c>
      <c r="I2123" s="6" t="s">
        <v>13</v>
      </c>
      <c r="J2123" s="4">
        <f>SUMPRODUCT(--((A2123=$A$3:$A$2785)*$H$3:$H$2785&gt;H2123))+1</f>
        <v>20</v>
      </c>
    </row>
    <row r="2124" s="1" customFormat="true" customHeight="true" spans="1:10">
      <c r="A2124" s="4" t="str">
        <f t="shared" si="252"/>
        <v>028</v>
      </c>
      <c r="B2124" s="4" t="s">
        <v>40</v>
      </c>
      <c r="C2124" s="4" t="str">
        <f>"唐佳祺"</f>
        <v>唐佳祺</v>
      </c>
      <c r="D2124" s="4" t="str">
        <f>"2021020813"</f>
        <v>2021020813</v>
      </c>
      <c r="E2124" s="4" t="str">
        <f t="shared" si="253"/>
        <v>08</v>
      </c>
      <c r="F2124" s="4" t="str">
        <f>"13"</f>
        <v>13</v>
      </c>
      <c r="G2124" s="4" t="s">
        <v>27</v>
      </c>
      <c r="H2124" s="5">
        <v>0</v>
      </c>
      <c r="I2124" s="6" t="s">
        <v>13</v>
      </c>
      <c r="J2124" s="4">
        <f>SUMPRODUCT(--((A2124=$A$3:$A$2785)*$H$3:$H$2785&gt;H2124))+1</f>
        <v>20</v>
      </c>
    </row>
    <row r="2125" s="1" customFormat="true" customHeight="true" spans="1:10">
      <c r="A2125" s="4" t="str">
        <f t="shared" si="252"/>
        <v>028</v>
      </c>
      <c r="B2125" s="4" t="s">
        <v>40</v>
      </c>
      <c r="C2125" s="4" t="str">
        <f>"张雅雪"</f>
        <v>张雅雪</v>
      </c>
      <c r="D2125" s="4" t="str">
        <f>"2021020814"</f>
        <v>2021020814</v>
      </c>
      <c r="E2125" s="4" t="str">
        <f t="shared" si="253"/>
        <v>08</v>
      </c>
      <c r="F2125" s="4" t="str">
        <f>"14"</f>
        <v>14</v>
      </c>
      <c r="G2125" s="4" t="s">
        <v>27</v>
      </c>
      <c r="H2125" s="5">
        <v>0</v>
      </c>
      <c r="I2125" s="6" t="s">
        <v>13</v>
      </c>
      <c r="J2125" s="4">
        <f>SUMPRODUCT(--((A2125=$A$3:$A$2785)*$H$3:$H$2785&gt;H2125))+1</f>
        <v>20</v>
      </c>
    </row>
    <row r="2126" s="1" customFormat="true" customHeight="true" spans="1:10">
      <c r="A2126" s="4" t="str">
        <f t="shared" si="252"/>
        <v>028</v>
      </c>
      <c r="B2126" s="4" t="s">
        <v>40</v>
      </c>
      <c r="C2126" s="4" t="str">
        <f>"李嘉雯"</f>
        <v>李嘉雯</v>
      </c>
      <c r="D2126" s="4" t="str">
        <f>"2021020815"</f>
        <v>2021020815</v>
      </c>
      <c r="E2126" s="4" t="str">
        <f t="shared" si="253"/>
        <v>08</v>
      </c>
      <c r="F2126" s="4" t="str">
        <f>"15"</f>
        <v>15</v>
      </c>
      <c r="G2126" s="4" t="s">
        <v>27</v>
      </c>
      <c r="H2126" s="5">
        <v>0</v>
      </c>
      <c r="I2126" s="6" t="s">
        <v>13</v>
      </c>
      <c r="J2126" s="4">
        <f>SUMPRODUCT(--((A2126=$A$3:$A$2785)*$H$3:$H$2785&gt;H2126))+1</f>
        <v>20</v>
      </c>
    </row>
    <row r="2127" s="1" customFormat="true" customHeight="true" spans="1:10">
      <c r="A2127" s="4" t="str">
        <f t="shared" si="252"/>
        <v>028</v>
      </c>
      <c r="B2127" s="4" t="s">
        <v>40</v>
      </c>
      <c r="C2127" s="4" t="str">
        <f>"丁晓雨"</f>
        <v>丁晓雨</v>
      </c>
      <c r="D2127" s="4" t="str">
        <f>"2021020822"</f>
        <v>2021020822</v>
      </c>
      <c r="E2127" s="4" t="str">
        <f t="shared" si="253"/>
        <v>08</v>
      </c>
      <c r="F2127" s="4" t="str">
        <f>"22"</f>
        <v>22</v>
      </c>
      <c r="G2127" s="4" t="s">
        <v>27</v>
      </c>
      <c r="H2127" s="5">
        <v>0</v>
      </c>
      <c r="I2127" s="6" t="s">
        <v>13</v>
      </c>
      <c r="J2127" s="4">
        <f>SUMPRODUCT(--((A2127=$A$3:$A$2785)*$H$3:$H$2785&gt;H2127))+1</f>
        <v>20</v>
      </c>
    </row>
    <row r="2128" s="1" customFormat="true" customHeight="true" spans="1:10">
      <c r="A2128" s="4" t="str">
        <f t="shared" si="252"/>
        <v>028</v>
      </c>
      <c r="B2128" s="4" t="s">
        <v>40</v>
      </c>
      <c r="C2128" s="4" t="str">
        <f>"向超群"</f>
        <v>向超群</v>
      </c>
      <c r="D2128" s="4" t="str">
        <f>"2021020830"</f>
        <v>2021020830</v>
      </c>
      <c r="E2128" s="4" t="str">
        <f t="shared" si="253"/>
        <v>08</v>
      </c>
      <c r="F2128" s="4" t="str">
        <f>"30"</f>
        <v>30</v>
      </c>
      <c r="G2128" s="4" t="s">
        <v>27</v>
      </c>
      <c r="H2128" s="5">
        <v>0</v>
      </c>
      <c r="I2128" s="6" t="s">
        <v>13</v>
      </c>
      <c r="J2128" s="4">
        <f>SUMPRODUCT(--((A2128=$A$3:$A$2785)*$H$3:$H$2785&gt;H2128))+1</f>
        <v>20</v>
      </c>
    </row>
    <row r="2129" s="1" customFormat="true" customHeight="true" spans="1:10">
      <c r="A2129" s="4" t="str">
        <f t="shared" ref="A2129:A2181" si="254">"029"</f>
        <v>029</v>
      </c>
      <c r="B2129" s="4" t="s">
        <v>41</v>
      </c>
      <c r="C2129" s="4" t="str">
        <f>"夏颖"</f>
        <v>夏颖</v>
      </c>
      <c r="D2129" s="4" t="str">
        <f>"2021021013"</f>
        <v>2021021013</v>
      </c>
      <c r="E2129" s="4" t="str">
        <f t="shared" ref="E2129:E2131" si="255">"10"</f>
        <v>10</v>
      </c>
      <c r="F2129" s="4" t="str">
        <f>"13"</f>
        <v>13</v>
      </c>
      <c r="G2129" s="4" t="s">
        <v>27</v>
      </c>
      <c r="H2129" s="5">
        <v>75.55</v>
      </c>
      <c r="I2129" s="4"/>
      <c r="J2129" s="4">
        <f>SUMPRODUCT(--((A2129=$A$3:$A$2785)*$H$3:$H$2785&gt;H2129))+1</f>
        <v>1</v>
      </c>
    </row>
    <row r="2130" s="1" customFormat="true" customHeight="true" spans="1:10">
      <c r="A2130" s="4" t="str">
        <f t="shared" si="254"/>
        <v>029</v>
      </c>
      <c r="B2130" s="4" t="s">
        <v>41</v>
      </c>
      <c r="C2130" s="4" t="str">
        <f>"肖津"</f>
        <v>肖津</v>
      </c>
      <c r="D2130" s="4" t="str">
        <f>"2021021015"</f>
        <v>2021021015</v>
      </c>
      <c r="E2130" s="4" t="str">
        <f t="shared" si="255"/>
        <v>10</v>
      </c>
      <c r="F2130" s="4" t="str">
        <f>"15"</f>
        <v>15</v>
      </c>
      <c r="G2130" s="4" t="s">
        <v>27</v>
      </c>
      <c r="H2130" s="5">
        <v>62.8</v>
      </c>
      <c r="I2130" s="4"/>
      <c r="J2130" s="4">
        <f>SUMPRODUCT(--((A2130=$A$3:$A$2785)*$H$3:$H$2785&gt;H2130))+1</f>
        <v>2</v>
      </c>
    </row>
    <row r="2131" s="1" customFormat="true" customHeight="true" spans="1:10">
      <c r="A2131" s="4" t="str">
        <f t="shared" si="254"/>
        <v>029</v>
      </c>
      <c r="B2131" s="4" t="s">
        <v>41</v>
      </c>
      <c r="C2131" s="4" t="str">
        <f>"张平秋"</f>
        <v>张平秋</v>
      </c>
      <c r="D2131" s="4" t="str">
        <f>"2021021005"</f>
        <v>2021021005</v>
      </c>
      <c r="E2131" s="4" t="str">
        <f t="shared" si="255"/>
        <v>10</v>
      </c>
      <c r="F2131" s="4" t="str">
        <f>"05"</f>
        <v>05</v>
      </c>
      <c r="G2131" s="4" t="s">
        <v>27</v>
      </c>
      <c r="H2131" s="5">
        <v>62.6</v>
      </c>
      <c r="I2131" s="4"/>
      <c r="J2131" s="4">
        <f>SUMPRODUCT(--((A2131=$A$3:$A$2785)*$H$3:$H$2785&gt;H2131))+1</f>
        <v>3</v>
      </c>
    </row>
    <row r="2132" s="1" customFormat="true" customHeight="true" spans="1:10">
      <c r="A2132" s="4" t="str">
        <f t="shared" si="254"/>
        <v>029</v>
      </c>
      <c r="B2132" s="4" t="s">
        <v>41</v>
      </c>
      <c r="C2132" s="4" t="str">
        <f>"向助伟"</f>
        <v>向助伟</v>
      </c>
      <c r="D2132" s="4" t="str">
        <f>"2021020919"</f>
        <v>2021020919</v>
      </c>
      <c r="E2132" s="4" t="str">
        <f>"09"</f>
        <v>09</v>
      </c>
      <c r="F2132" s="4" t="str">
        <f>"19"</f>
        <v>19</v>
      </c>
      <c r="G2132" s="4" t="s">
        <v>27</v>
      </c>
      <c r="H2132" s="5">
        <v>62.55</v>
      </c>
      <c r="I2132" s="4"/>
      <c r="J2132" s="4">
        <f>SUMPRODUCT(--((A2132=$A$3:$A$2785)*$H$3:$H$2785&gt;H2132))+1</f>
        <v>4</v>
      </c>
    </row>
    <row r="2133" s="1" customFormat="true" customHeight="true" spans="1:10">
      <c r="A2133" s="4" t="str">
        <f t="shared" si="254"/>
        <v>029</v>
      </c>
      <c r="B2133" s="4" t="s">
        <v>41</v>
      </c>
      <c r="C2133" s="4" t="str">
        <f>"刘颜梽"</f>
        <v>刘颜梽</v>
      </c>
      <c r="D2133" s="4" t="str">
        <f>"2021021022"</f>
        <v>2021021022</v>
      </c>
      <c r="E2133" s="4" t="str">
        <f t="shared" ref="E2133:E2136" si="256">"10"</f>
        <v>10</v>
      </c>
      <c r="F2133" s="4" t="str">
        <f>"22"</f>
        <v>22</v>
      </c>
      <c r="G2133" s="4" t="s">
        <v>27</v>
      </c>
      <c r="H2133" s="5">
        <v>62.45</v>
      </c>
      <c r="I2133" s="4"/>
      <c r="J2133" s="4">
        <f>SUMPRODUCT(--((A2133=$A$3:$A$2785)*$H$3:$H$2785&gt;H2133))+1</f>
        <v>5</v>
      </c>
    </row>
    <row r="2134" s="1" customFormat="true" customHeight="true" spans="1:10">
      <c r="A2134" s="4" t="str">
        <f t="shared" si="254"/>
        <v>029</v>
      </c>
      <c r="B2134" s="4" t="s">
        <v>41</v>
      </c>
      <c r="C2134" s="4" t="str">
        <f>"黄风"</f>
        <v>黄风</v>
      </c>
      <c r="D2134" s="4" t="str">
        <f>"2021021107"</f>
        <v>2021021107</v>
      </c>
      <c r="E2134" s="4" t="str">
        <f>"11"</f>
        <v>11</v>
      </c>
      <c r="F2134" s="4" t="str">
        <f>"07"</f>
        <v>07</v>
      </c>
      <c r="G2134" s="4" t="s">
        <v>27</v>
      </c>
      <c r="H2134" s="5">
        <v>61.9</v>
      </c>
      <c r="I2134" s="4"/>
      <c r="J2134" s="4">
        <f>SUMPRODUCT(--((A2134=$A$3:$A$2785)*$H$3:$H$2785&gt;H2134))+1</f>
        <v>6</v>
      </c>
    </row>
    <row r="2135" s="1" customFormat="true" customHeight="true" spans="1:10">
      <c r="A2135" s="4" t="str">
        <f t="shared" si="254"/>
        <v>029</v>
      </c>
      <c r="B2135" s="4" t="s">
        <v>41</v>
      </c>
      <c r="C2135" s="4" t="str">
        <f>"尹先祯"</f>
        <v>尹先祯</v>
      </c>
      <c r="D2135" s="4" t="str">
        <f>"2021021007"</f>
        <v>2021021007</v>
      </c>
      <c r="E2135" s="4" t="str">
        <f t="shared" si="256"/>
        <v>10</v>
      </c>
      <c r="F2135" s="4" t="str">
        <f>"07"</f>
        <v>07</v>
      </c>
      <c r="G2135" s="4" t="s">
        <v>27</v>
      </c>
      <c r="H2135" s="5">
        <v>61.8</v>
      </c>
      <c r="I2135" s="4"/>
      <c r="J2135" s="4">
        <f>SUMPRODUCT(--((A2135=$A$3:$A$2785)*$H$3:$H$2785&gt;H2135))+1</f>
        <v>7</v>
      </c>
    </row>
    <row r="2136" s="1" customFormat="true" customHeight="true" spans="1:10">
      <c r="A2136" s="4" t="str">
        <f t="shared" si="254"/>
        <v>029</v>
      </c>
      <c r="B2136" s="4" t="s">
        <v>41</v>
      </c>
      <c r="C2136" s="4" t="str">
        <f>"杨广召"</f>
        <v>杨广召</v>
      </c>
      <c r="D2136" s="4" t="str">
        <f>"2021021008"</f>
        <v>2021021008</v>
      </c>
      <c r="E2136" s="4" t="str">
        <f t="shared" si="256"/>
        <v>10</v>
      </c>
      <c r="F2136" s="4" t="str">
        <f>"08"</f>
        <v>08</v>
      </c>
      <c r="G2136" s="4" t="s">
        <v>27</v>
      </c>
      <c r="H2136" s="5">
        <v>60.8</v>
      </c>
      <c r="I2136" s="4"/>
      <c r="J2136" s="4">
        <f>SUMPRODUCT(--((A2136=$A$3:$A$2785)*$H$3:$H$2785&gt;H2136))+1</f>
        <v>8</v>
      </c>
    </row>
    <row r="2137" s="1" customFormat="true" customHeight="true" spans="1:10">
      <c r="A2137" s="4" t="str">
        <f t="shared" si="254"/>
        <v>029</v>
      </c>
      <c r="B2137" s="4" t="s">
        <v>41</v>
      </c>
      <c r="C2137" s="4" t="str">
        <f>"刘威"</f>
        <v>刘威</v>
      </c>
      <c r="D2137" s="4" t="str">
        <f>"2021020928"</f>
        <v>2021020928</v>
      </c>
      <c r="E2137" s="4" t="str">
        <f>"09"</f>
        <v>09</v>
      </c>
      <c r="F2137" s="4" t="str">
        <f>"28"</f>
        <v>28</v>
      </c>
      <c r="G2137" s="4" t="s">
        <v>27</v>
      </c>
      <c r="H2137" s="5">
        <v>60.7</v>
      </c>
      <c r="I2137" s="4"/>
      <c r="J2137" s="4">
        <f>SUMPRODUCT(--((A2137=$A$3:$A$2785)*$H$3:$H$2785&gt;H2137))+1</f>
        <v>9</v>
      </c>
    </row>
    <row r="2138" s="1" customFormat="true" customHeight="true" spans="1:10">
      <c r="A2138" s="4" t="str">
        <f t="shared" si="254"/>
        <v>029</v>
      </c>
      <c r="B2138" s="4" t="s">
        <v>41</v>
      </c>
      <c r="C2138" s="4" t="str">
        <f>"吴隆"</f>
        <v>吴隆</v>
      </c>
      <c r="D2138" s="4" t="str">
        <f>"2021021103"</f>
        <v>2021021103</v>
      </c>
      <c r="E2138" s="4" t="str">
        <f t="shared" ref="E2138:E2142" si="257">"11"</f>
        <v>11</v>
      </c>
      <c r="F2138" s="4" t="str">
        <f>"03"</f>
        <v>03</v>
      </c>
      <c r="G2138" s="4" t="s">
        <v>27</v>
      </c>
      <c r="H2138" s="5">
        <v>59.7</v>
      </c>
      <c r="I2138" s="4"/>
      <c r="J2138" s="4">
        <f>SUMPRODUCT(--((A2138=$A$3:$A$2785)*$H$3:$H$2785&gt;H2138))+1</f>
        <v>10</v>
      </c>
    </row>
    <row r="2139" s="1" customFormat="true" customHeight="true" spans="1:10">
      <c r="A2139" s="4" t="str">
        <f t="shared" si="254"/>
        <v>029</v>
      </c>
      <c r="B2139" s="4" t="s">
        <v>41</v>
      </c>
      <c r="C2139" s="4" t="str">
        <f>"杨尧"</f>
        <v>杨尧</v>
      </c>
      <c r="D2139" s="4" t="str">
        <f>"2021021016"</f>
        <v>2021021016</v>
      </c>
      <c r="E2139" s="4" t="str">
        <f t="shared" ref="E2139:E2144" si="258">"10"</f>
        <v>10</v>
      </c>
      <c r="F2139" s="4" t="str">
        <f>"16"</f>
        <v>16</v>
      </c>
      <c r="G2139" s="4" t="s">
        <v>27</v>
      </c>
      <c r="H2139" s="5">
        <v>59.25</v>
      </c>
      <c r="I2139" s="4"/>
      <c r="J2139" s="4">
        <f>SUMPRODUCT(--((A2139=$A$3:$A$2785)*$H$3:$H$2785&gt;H2139))+1</f>
        <v>11</v>
      </c>
    </row>
    <row r="2140" s="1" customFormat="true" customHeight="true" spans="1:10">
      <c r="A2140" s="4" t="str">
        <f t="shared" si="254"/>
        <v>029</v>
      </c>
      <c r="B2140" s="4" t="s">
        <v>41</v>
      </c>
      <c r="C2140" s="4" t="str">
        <f>"杨先凯"</f>
        <v>杨先凯</v>
      </c>
      <c r="D2140" s="4" t="str">
        <f>"2021021105"</f>
        <v>2021021105</v>
      </c>
      <c r="E2140" s="4" t="str">
        <f t="shared" si="257"/>
        <v>11</v>
      </c>
      <c r="F2140" s="4" t="str">
        <f>"05"</f>
        <v>05</v>
      </c>
      <c r="G2140" s="4" t="s">
        <v>27</v>
      </c>
      <c r="H2140" s="5">
        <v>58.9</v>
      </c>
      <c r="I2140" s="4"/>
      <c r="J2140" s="4">
        <f>SUMPRODUCT(--((A2140=$A$3:$A$2785)*$H$3:$H$2785&gt;H2140))+1</f>
        <v>12</v>
      </c>
    </row>
    <row r="2141" s="1" customFormat="true" customHeight="true" spans="1:10">
      <c r="A2141" s="4" t="str">
        <f t="shared" si="254"/>
        <v>029</v>
      </c>
      <c r="B2141" s="4" t="s">
        <v>41</v>
      </c>
      <c r="C2141" s="4" t="str">
        <f>"田峰"</f>
        <v>田峰</v>
      </c>
      <c r="D2141" s="4" t="str">
        <f>"2021020918"</f>
        <v>2021020918</v>
      </c>
      <c r="E2141" s="4" t="str">
        <f>"09"</f>
        <v>09</v>
      </c>
      <c r="F2141" s="4" t="str">
        <f>"18"</f>
        <v>18</v>
      </c>
      <c r="G2141" s="4" t="s">
        <v>27</v>
      </c>
      <c r="H2141" s="5">
        <v>58.7</v>
      </c>
      <c r="I2141" s="4"/>
      <c r="J2141" s="4">
        <f>SUMPRODUCT(--((A2141=$A$3:$A$2785)*$H$3:$H$2785&gt;H2141))+1</f>
        <v>13</v>
      </c>
    </row>
    <row r="2142" s="1" customFormat="true" customHeight="true" spans="1:10">
      <c r="A2142" s="4" t="str">
        <f t="shared" si="254"/>
        <v>029</v>
      </c>
      <c r="B2142" s="4" t="s">
        <v>41</v>
      </c>
      <c r="C2142" s="4" t="str">
        <f>"姜健"</f>
        <v>姜健</v>
      </c>
      <c r="D2142" s="4" t="str">
        <f>"2021021101"</f>
        <v>2021021101</v>
      </c>
      <c r="E2142" s="4" t="str">
        <f t="shared" si="257"/>
        <v>11</v>
      </c>
      <c r="F2142" s="4" t="str">
        <f>"01"</f>
        <v>01</v>
      </c>
      <c r="G2142" s="4" t="s">
        <v>27</v>
      </c>
      <c r="H2142" s="5">
        <v>58.1</v>
      </c>
      <c r="I2142" s="4"/>
      <c r="J2142" s="4">
        <f>SUMPRODUCT(--((A2142=$A$3:$A$2785)*$H$3:$H$2785&gt;H2142))+1</f>
        <v>14</v>
      </c>
    </row>
    <row r="2143" s="1" customFormat="true" customHeight="true" spans="1:10">
      <c r="A2143" s="4" t="str">
        <f t="shared" si="254"/>
        <v>029</v>
      </c>
      <c r="B2143" s="4" t="s">
        <v>41</v>
      </c>
      <c r="C2143" s="4" t="str">
        <f>"曾家荣"</f>
        <v>曾家荣</v>
      </c>
      <c r="D2143" s="4" t="str">
        <f>"2021021026"</f>
        <v>2021021026</v>
      </c>
      <c r="E2143" s="4" t="str">
        <f t="shared" si="258"/>
        <v>10</v>
      </c>
      <c r="F2143" s="4" t="str">
        <f>"26"</f>
        <v>26</v>
      </c>
      <c r="G2143" s="4" t="s">
        <v>27</v>
      </c>
      <c r="H2143" s="5">
        <v>57.4</v>
      </c>
      <c r="I2143" s="4"/>
      <c r="J2143" s="4">
        <f>SUMPRODUCT(--((A2143=$A$3:$A$2785)*$H$3:$H$2785&gt;H2143))+1</f>
        <v>15</v>
      </c>
    </row>
    <row r="2144" s="1" customFormat="true" customHeight="true" spans="1:10">
      <c r="A2144" s="4" t="str">
        <f t="shared" si="254"/>
        <v>029</v>
      </c>
      <c r="B2144" s="4" t="s">
        <v>41</v>
      </c>
      <c r="C2144" s="4" t="str">
        <f>"吴娟"</f>
        <v>吴娟</v>
      </c>
      <c r="D2144" s="4" t="str">
        <f>"2021021002"</f>
        <v>2021021002</v>
      </c>
      <c r="E2144" s="4" t="str">
        <f t="shared" si="258"/>
        <v>10</v>
      </c>
      <c r="F2144" s="4" t="str">
        <f>"02"</f>
        <v>02</v>
      </c>
      <c r="G2144" s="4" t="s">
        <v>27</v>
      </c>
      <c r="H2144" s="5">
        <v>56.85</v>
      </c>
      <c r="I2144" s="4"/>
      <c r="J2144" s="4">
        <f>SUMPRODUCT(--((A2144=$A$3:$A$2785)*$H$3:$H$2785&gt;H2144))+1</f>
        <v>16</v>
      </c>
    </row>
    <row r="2145" s="1" customFormat="true" customHeight="true" spans="1:10">
      <c r="A2145" s="4" t="str">
        <f t="shared" si="254"/>
        <v>029</v>
      </c>
      <c r="B2145" s="4" t="s">
        <v>41</v>
      </c>
      <c r="C2145" s="4" t="str">
        <f>"覃归凤"</f>
        <v>覃归凤</v>
      </c>
      <c r="D2145" s="4" t="str">
        <f>"2021020926"</f>
        <v>2021020926</v>
      </c>
      <c r="E2145" s="4" t="str">
        <f t="shared" ref="E2145:E2150" si="259">"09"</f>
        <v>09</v>
      </c>
      <c r="F2145" s="4" t="str">
        <f>"26"</f>
        <v>26</v>
      </c>
      <c r="G2145" s="4" t="s">
        <v>27</v>
      </c>
      <c r="H2145" s="5">
        <v>56.55</v>
      </c>
      <c r="I2145" s="4"/>
      <c r="J2145" s="4">
        <f>SUMPRODUCT(--((A2145=$A$3:$A$2785)*$H$3:$H$2785&gt;H2145))+1</f>
        <v>17</v>
      </c>
    </row>
    <row r="2146" s="1" customFormat="true" customHeight="true" spans="1:10">
      <c r="A2146" s="4" t="str">
        <f t="shared" si="254"/>
        <v>029</v>
      </c>
      <c r="B2146" s="4" t="s">
        <v>41</v>
      </c>
      <c r="C2146" s="4" t="str">
        <f>"肖翎"</f>
        <v>肖翎</v>
      </c>
      <c r="D2146" s="4" t="str">
        <f>"2021021017"</f>
        <v>2021021017</v>
      </c>
      <c r="E2146" s="4" t="str">
        <f t="shared" ref="E2146:E2149" si="260">"10"</f>
        <v>10</v>
      </c>
      <c r="F2146" s="4" t="str">
        <f>"17"</f>
        <v>17</v>
      </c>
      <c r="G2146" s="4" t="s">
        <v>27</v>
      </c>
      <c r="H2146" s="5">
        <v>56.45</v>
      </c>
      <c r="I2146" s="4"/>
      <c r="J2146" s="4">
        <f>SUMPRODUCT(--((A2146=$A$3:$A$2785)*$H$3:$H$2785&gt;H2146))+1</f>
        <v>18</v>
      </c>
    </row>
    <row r="2147" s="1" customFormat="true" customHeight="true" spans="1:10">
      <c r="A2147" s="4" t="str">
        <f t="shared" si="254"/>
        <v>029</v>
      </c>
      <c r="B2147" s="4" t="s">
        <v>41</v>
      </c>
      <c r="C2147" s="4" t="str">
        <f>"肖鹏"</f>
        <v>肖鹏</v>
      </c>
      <c r="D2147" s="4" t="str">
        <f>"2021021018"</f>
        <v>2021021018</v>
      </c>
      <c r="E2147" s="4" t="str">
        <f t="shared" si="260"/>
        <v>10</v>
      </c>
      <c r="F2147" s="4" t="str">
        <f>"18"</f>
        <v>18</v>
      </c>
      <c r="G2147" s="4" t="s">
        <v>27</v>
      </c>
      <c r="H2147" s="5">
        <v>56.15</v>
      </c>
      <c r="I2147" s="4"/>
      <c r="J2147" s="4">
        <f>SUMPRODUCT(--((A2147=$A$3:$A$2785)*$H$3:$H$2785&gt;H2147))+1</f>
        <v>19</v>
      </c>
    </row>
    <row r="2148" s="1" customFormat="true" customHeight="true" spans="1:10">
      <c r="A2148" s="4" t="str">
        <f t="shared" si="254"/>
        <v>029</v>
      </c>
      <c r="B2148" s="4" t="s">
        <v>41</v>
      </c>
      <c r="C2148" s="4" t="str">
        <f>"吴小鹏"</f>
        <v>吴小鹏</v>
      </c>
      <c r="D2148" s="4" t="str">
        <f>"2021020924"</f>
        <v>2021020924</v>
      </c>
      <c r="E2148" s="4" t="str">
        <f t="shared" si="259"/>
        <v>09</v>
      </c>
      <c r="F2148" s="4" t="str">
        <f>"24"</f>
        <v>24</v>
      </c>
      <c r="G2148" s="4" t="s">
        <v>27</v>
      </c>
      <c r="H2148" s="5">
        <v>55.1</v>
      </c>
      <c r="I2148" s="4"/>
      <c r="J2148" s="4">
        <f>SUMPRODUCT(--((A2148=$A$3:$A$2785)*$H$3:$H$2785&gt;H2148))+1</f>
        <v>20</v>
      </c>
    </row>
    <row r="2149" s="1" customFormat="true" customHeight="true" spans="1:10">
      <c r="A2149" s="4" t="str">
        <f t="shared" si="254"/>
        <v>029</v>
      </c>
      <c r="B2149" s="4" t="s">
        <v>41</v>
      </c>
      <c r="C2149" s="4" t="str">
        <f>"杨恒"</f>
        <v>杨恒</v>
      </c>
      <c r="D2149" s="4" t="str">
        <f>"2021021010"</f>
        <v>2021021010</v>
      </c>
      <c r="E2149" s="4" t="str">
        <f t="shared" si="260"/>
        <v>10</v>
      </c>
      <c r="F2149" s="4" t="str">
        <f>"10"</f>
        <v>10</v>
      </c>
      <c r="G2149" s="4" t="s">
        <v>27</v>
      </c>
      <c r="H2149" s="5">
        <v>54.95</v>
      </c>
      <c r="I2149" s="4"/>
      <c r="J2149" s="4">
        <f>SUMPRODUCT(--((A2149=$A$3:$A$2785)*$H$3:$H$2785&gt;H2149))+1</f>
        <v>21</v>
      </c>
    </row>
    <row r="2150" s="1" customFormat="true" customHeight="true" spans="1:10">
      <c r="A2150" s="4" t="str">
        <f t="shared" si="254"/>
        <v>029</v>
      </c>
      <c r="B2150" s="4" t="s">
        <v>41</v>
      </c>
      <c r="C2150" s="4" t="str">
        <f>"周岳"</f>
        <v>周岳</v>
      </c>
      <c r="D2150" s="4" t="str">
        <f>"2021020916"</f>
        <v>2021020916</v>
      </c>
      <c r="E2150" s="4" t="str">
        <f t="shared" si="259"/>
        <v>09</v>
      </c>
      <c r="F2150" s="4" t="str">
        <f>"16"</f>
        <v>16</v>
      </c>
      <c r="G2150" s="4" t="s">
        <v>27</v>
      </c>
      <c r="H2150" s="5">
        <v>54.25</v>
      </c>
      <c r="I2150" s="4"/>
      <c r="J2150" s="4">
        <f>SUMPRODUCT(--((A2150=$A$3:$A$2785)*$H$3:$H$2785&gt;H2150))+1</f>
        <v>22</v>
      </c>
    </row>
    <row r="2151" s="1" customFormat="true" customHeight="true" spans="1:10">
      <c r="A2151" s="4" t="str">
        <f t="shared" si="254"/>
        <v>029</v>
      </c>
      <c r="B2151" s="4" t="s">
        <v>41</v>
      </c>
      <c r="C2151" s="4" t="str">
        <f>"黄翰琛"</f>
        <v>黄翰琛</v>
      </c>
      <c r="D2151" s="4" t="str">
        <f>"2021021023"</f>
        <v>2021021023</v>
      </c>
      <c r="E2151" s="4" t="str">
        <f t="shared" ref="E2151:E2154" si="261">"10"</f>
        <v>10</v>
      </c>
      <c r="F2151" s="4" t="str">
        <f>"23"</f>
        <v>23</v>
      </c>
      <c r="G2151" s="4" t="s">
        <v>27</v>
      </c>
      <c r="H2151" s="5">
        <v>53.9</v>
      </c>
      <c r="I2151" s="4"/>
      <c r="J2151" s="4">
        <f>SUMPRODUCT(--((A2151=$A$3:$A$2785)*$H$3:$H$2785&gt;H2151))+1</f>
        <v>23</v>
      </c>
    </row>
    <row r="2152" s="1" customFormat="true" customHeight="true" spans="1:10">
      <c r="A2152" s="4" t="str">
        <f t="shared" si="254"/>
        <v>029</v>
      </c>
      <c r="B2152" s="4" t="s">
        <v>41</v>
      </c>
      <c r="C2152" s="4" t="str">
        <f>"唐杰"</f>
        <v>唐杰</v>
      </c>
      <c r="D2152" s="4" t="str">
        <f>"2021021001"</f>
        <v>2021021001</v>
      </c>
      <c r="E2152" s="4" t="str">
        <f t="shared" si="261"/>
        <v>10</v>
      </c>
      <c r="F2152" s="4" t="str">
        <f>"01"</f>
        <v>01</v>
      </c>
      <c r="G2152" s="4" t="s">
        <v>27</v>
      </c>
      <c r="H2152" s="5">
        <v>52.55</v>
      </c>
      <c r="I2152" s="4"/>
      <c r="J2152" s="4">
        <f>SUMPRODUCT(--((A2152=$A$3:$A$2785)*$H$3:$H$2785&gt;H2152))+1</f>
        <v>24</v>
      </c>
    </row>
    <row r="2153" s="1" customFormat="true" customHeight="true" spans="1:10">
      <c r="A2153" s="4" t="str">
        <f t="shared" si="254"/>
        <v>029</v>
      </c>
      <c r="B2153" s="4" t="s">
        <v>41</v>
      </c>
      <c r="C2153" s="4" t="str">
        <f>"覃辉"</f>
        <v>覃辉</v>
      </c>
      <c r="D2153" s="4" t="str">
        <f>"2021021021"</f>
        <v>2021021021</v>
      </c>
      <c r="E2153" s="4" t="str">
        <f t="shared" si="261"/>
        <v>10</v>
      </c>
      <c r="F2153" s="4" t="str">
        <f>"21"</f>
        <v>21</v>
      </c>
      <c r="G2153" s="4" t="s">
        <v>27</v>
      </c>
      <c r="H2153" s="5">
        <v>51.35</v>
      </c>
      <c r="I2153" s="4"/>
      <c r="J2153" s="4">
        <f>SUMPRODUCT(--((A2153=$A$3:$A$2785)*$H$3:$H$2785&gt;H2153))+1</f>
        <v>25</v>
      </c>
    </row>
    <row r="2154" s="1" customFormat="true" customHeight="true" spans="1:10">
      <c r="A2154" s="4" t="str">
        <f t="shared" si="254"/>
        <v>029</v>
      </c>
      <c r="B2154" s="4" t="s">
        <v>41</v>
      </c>
      <c r="C2154" s="4" t="str">
        <f>"刘舟"</f>
        <v>刘舟</v>
      </c>
      <c r="D2154" s="4" t="str">
        <f>"2021021024"</f>
        <v>2021021024</v>
      </c>
      <c r="E2154" s="4" t="str">
        <f t="shared" si="261"/>
        <v>10</v>
      </c>
      <c r="F2154" s="4" t="str">
        <f>"24"</f>
        <v>24</v>
      </c>
      <c r="G2154" s="4" t="s">
        <v>27</v>
      </c>
      <c r="H2154" s="5">
        <v>48.1</v>
      </c>
      <c r="I2154" s="4"/>
      <c r="J2154" s="4">
        <f>SUMPRODUCT(--((A2154=$A$3:$A$2785)*$H$3:$H$2785&gt;H2154))+1</f>
        <v>26</v>
      </c>
    </row>
    <row r="2155" s="1" customFormat="true" customHeight="true" spans="1:10">
      <c r="A2155" s="4" t="str">
        <f t="shared" si="254"/>
        <v>029</v>
      </c>
      <c r="B2155" s="4" t="s">
        <v>41</v>
      </c>
      <c r="C2155" s="4" t="str">
        <f>"杨院生"</f>
        <v>杨院生</v>
      </c>
      <c r="D2155" s="4" t="str">
        <f>"2021020921"</f>
        <v>2021020921</v>
      </c>
      <c r="E2155" s="4" t="str">
        <f t="shared" ref="E2155:E2164" si="262">"09"</f>
        <v>09</v>
      </c>
      <c r="F2155" s="4" t="str">
        <f>"21"</f>
        <v>21</v>
      </c>
      <c r="G2155" s="4" t="s">
        <v>27</v>
      </c>
      <c r="H2155" s="5">
        <v>47.7</v>
      </c>
      <c r="I2155" s="4"/>
      <c r="J2155" s="4">
        <f>SUMPRODUCT(--((A2155=$A$3:$A$2785)*$H$3:$H$2785&gt;H2155))+1</f>
        <v>27</v>
      </c>
    </row>
    <row r="2156" s="1" customFormat="true" customHeight="true" spans="1:10">
      <c r="A2156" s="4" t="str">
        <f t="shared" si="254"/>
        <v>029</v>
      </c>
      <c r="B2156" s="4" t="s">
        <v>41</v>
      </c>
      <c r="C2156" s="4" t="str">
        <f>"汪毅峰"</f>
        <v>汪毅峰</v>
      </c>
      <c r="D2156" s="4" t="str">
        <f>"2021020917"</f>
        <v>2021020917</v>
      </c>
      <c r="E2156" s="4" t="str">
        <f t="shared" si="262"/>
        <v>09</v>
      </c>
      <c r="F2156" s="4" t="str">
        <f>"17"</f>
        <v>17</v>
      </c>
      <c r="G2156" s="4" t="s">
        <v>27</v>
      </c>
      <c r="H2156" s="5">
        <v>46.7</v>
      </c>
      <c r="I2156" s="4"/>
      <c r="J2156" s="4">
        <f>SUMPRODUCT(--((A2156=$A$3:$A$2785)*$H$3:$H$2785&gt;H2156))+1</f>
        <v>28</v>
      </c>
    </row>
    <row r="2157" s="1" customFormat="true" customHeight="true" spans="1:10">
      <c r="A2157" s="4" t="str">
        <f t="shared" si="254"/>
        <v>029</v>
      </c>
      <c r="B2157" s="4" t="s">
        <v>41</v>
      </c>
      <c r="C2157" s="4" t="str">
        <f>"谢建平"</f>
        <v>谢建平</v>
      </c>
      <c r="D2157" s="4" t="str">
        <f>"2021020922"</f>
        <v>2021020922</v>
      </c>
      <c r="E2157" s="4" t="str">
        <f t="shared" si="262"/>
        <v>09</v>
      </c>
      <c r="F2157" s="4" t="str">
        <f>"22"</f>
        <v>22</v>
      </c>
      <c r="G2157" s="4" t="s">
        <v>27</v>
      </c>
      <c r="H2157" s="5">
        <v>46.65</v>
      </c>
      <c r="I2157" s="4"/>
      <c r="J2157" s="4">
        <f>SUMPRODUCT(--((A2157=$A$3:$A$2785)*$H$3:$H$2785&gt;H2157))+1</f>
        <v>29</v>
      </c>
    </row>
    <row r="2158" s="1" customFormat="true" customHeight="true" spans="1:10">
      <c r="A2158" s="4" t="str">
        <f t="shared" si="254"/>
        <v>029</v>
      </c>
      <c r="B2158" s="4" t="s">
        <v>41</v>
      </c>
      <c r="C2158" s="4" t="str">
        <f>"梁益明"</f>
        <v>梁益明</v>
      </c>
      <c r="D2158" s="4" t="str">
        <f>"2021020925"</f>
        <v>2021020925</v>
      </c>
      <c r="E2158" s="4" t="str">
        <f t="shared" si="262"/>
        <v>09</v>
      </c>
      <c r="F2158" s="4" t="str">
        <f>"25"</f>
        <v>25</v>
      </c>
      <c r="G2158" s="4" t="s">
        <v>27</v>
      </c>
      <c r="H2158" s="5">
        <v>46.55</v>
      </c>
      <c r="I2158" s="4"/>
      <c r="J2158" s="4">
        <f>SUMPRODUCT(--((A2158=$A$3:$A$2785)*$H$3:$H$2785&gt;H2158))+1</f>
        <v>30</v>
      </c>
    </row>
    <row r="2159" s="1" customFormat="true" customHeight="true" spans="1:10">
      <c r="A2159" s="4" t="str">
        <f t="shared" si="254"/>
        <v>029</v>
      </c>
      <c r="B2159" s="4" t="s">
        <v>41</v>
      </c>
      <c r="C2159" s="4" t="str">
        <f>"向伟鹏"</f>
        <v>向伟鹏</v>
      </c>
      <c r="D2159" s="4" t="str">
        <f>"2021020915"</f>
        <v>2021020915</v>
      </c>
      <c r="E2159" s="4" t="str">
        <f t="shared" si="262"/>
        <v>09</v>
      </c>
      <c r="F2159" s="4" t="str">
        <f>"15"</f>
        <v>15</v>
      </c>
      <c r="G2159" s="4" t="s">
        <v>27</v>
      </c>
      <c r="H2159" s="5">
        <v>0</v>
      </c>
      <c r="I2159" s="6" t="s">
        <v>13</v>
      </c>
      <c r="J2159" s="4">
        <f>SUMPRODUCT(--((A2159=$A$3:$A$2785)*$H$3:$H$2785&gt;H2159))+1</f>
        <v>31</v>
      </c>
    </row>
    <row r="2160" s="1" customFormat="true" customHeight="true" spans="1:10">
      <c r="A2160" s="4" t="str">
        <f t="shared" si="254"/>
        <v>029</v>
      </c>
      <c r="B2160" s="4" t="s">
        <v>41</v>
      </c>
      <c r="C2160" s="4" t="str">
        <f>"覃江飞"</f>
        <v>覃江飞</v>
      </c>
      <c r="D2160" s="4" t="str">
        <f>"2021020920"</f>
        <v>2021020920</v>
      </c>
      <c r="E2160" s="4" t="str">
        <f t="shared" si="262"/>
        <v>09</v>
      </c>
      <c r="F2160" s="4" t="str">
        <f>"20"</f>
        <v>20</v>
      </c>
      <c r="G2160" s="4" t="s">
        <v>27</v>
      </c>
      <c r="H2160" s="5">
        <v>0</v>
      </c>
      <c r="I2160" s="6" t="s">
        <v>13</v>
      </c>
      <c r="J2160" s="4">
        <f>SUMPRODUCT(--((A2160=$A$3:$A$2785)*$H$3:$H$2785&gt;H2160))+1</f>
        <v>31</v>
      </c>
    </row>
    <row r="2161" s="1" customFormat="true" customHeight="true" spans="1:10">
      <c r="A2161" s="4" t="str">
        <f t="shared" si="254"/>
        <v>029</v>
      </c>
      <c r="B2161" s="4" t="s">
        <v>41</v>
      </c>
      <c r="C2161" s="4" t="str">
        <f>"张嘉隽"</f>
        <v>张嘉隽</v>
      </c>
      <c r="D2161" s="4" t="str">
        <f>"2021020923"</f>
        <v>2021020923</v>
      </c>
      <c r="E2161" s="4" t="str">
        <f t="shared" si="262"/>
        <v>09</v>
      </c>
      <c r="F2161" s="4" t="str">
        <f>"23"</f>
        <v>23</v>
      </c>
      <c r="G2161" s="4" t="s">
        <v>27</v>
      </c>
      <c r="H2161" s="5">
        <v>0</v>
      </c>
      <c r="I2161" s="6" t="s">
        <v>13</v>
      </c>
      <c r="J2161" s="4">
        <f>SUMPRODUCT(--((A2161=$A$3:$A$2785)*$H$3:$H$2785&gt;H2161))+1</f>
        <v>31</v>
      </c>
    </row>
    <row r="2162" s="1" customFormat="true" customHeight="true" spans="1:10">
      <c r="A2162" s="4" t="str">
        <f t="shared" si="254"/>
        <v>029</v>
      </c>
      <c r="B2162" s="4" t="s">
        <v>41</v>
      </c>
      <c r="C2162" s="4" t="str">
        <f>"时永顺"</f>
        <v>时永顺</v>
      </c>
      <c r="D2162" s="4" t="str">
        <f>"2021020927"</f>
        <v>2021020927</v>
      </c>
      <c r="E2162" s="4" t="str">
        <f t="shared" si="262"/>
        <v>09</v>
      </c>
      <c r="F2162" s="4" t="str">
        <f>"27"</f>
        <v>27</v>
      </c>
      <c r="G2162" s="4" t="s">
        <v>27</v>
      </c>
      <c r="H2162" s="5">
        <v>0</v>
      </c>
      <c r="I2162" s="6" t="s">
        <v>13</v>
      </c>
      <c r="J2162" s="4">
        <f>SUMPRODUCT(--((A2162=$A$3:$A$2785)*$H$3:$H$2785&gt;H2162))+1</f>
        <v>31</v>
      </c>
    </row>
    <row r="2163" s="1" customFormat="true" customHeight="true" spans="1:10">
      <c r="A2163" s="4" t="str">
        <f t="shared" si="254"/>
        <v>029</v>
      </c>
      <c r="B2163" s="4" t="s">
        <v>41</v>
      </c>
      <c r="C2163" s="4" t="str">
        <f>"石邦龙"</f>
        <v>石邦龙</v>
      </c>
      <c r="D2163" s="4" t="str">
        <f>"2021020929"</f>
        <v>2021020929</v>
      </c>
      <c r="E2163" s="4" t="str">
        <f t="shared" si="262"/>
        <v>09</v>
      </c>
      <c r="F2163" s="4" t="str">
        <f>"29"</f>
        <v>29</v>
      </c>
      <c r="G2163" s="4" t="s">
        <v>27</v>
      </c>
      <c r="H2163" s="5">
        <v>0</v>
      </c>
      <c r="I2163" s="6" t="s">
        <v>13</v>
      </c>
      <c r="J2163" s="4">
        <f>SUMPRODUCT(--((A2163=$A$3:$A$2785)*$H$3:$H$2785&gt;H2163))+1</f>
        <v>31</v>
      </c>
    </row>
    <row r="2164" s="1" customFormat="true" customHeight="true" spans="1:10">
      <c r="A2164" s="4" t="str">
        <f t="shared" si="254"/>
        <v>029</v>
      </c>
      <c r="B2164" s="4" t="s">
        <v>41</v>
      </c>
      <c r="C2164" s="4" t="str">
        <f>"龙达萌"</f>
        <v>龙达萌</v>
      </c>
      <c r="D2164" s="4" t="str">
        <f>"2021020930"</f>
        <v>2021020930</v>
      </c>
      <c r="E2164" s="4" t="str">
        <f t="shared" si="262"/>
        <v>09</v>
      </c>
      <c r="F2164" s="4" t="str">
        <f>"30"</f>
        <v>30</v>
      </c>
      <c r="G2164" s="4" t="s">
        <v>27</v>
      </c>
      <c r="H2164" s="5">
        <v>0</v>
      </c>
      <c r="I2164" s="6" t="s">
        <v>13</v>
      </c>
      <c r="J2164" s="4">
        <f>SUMPRODUCT(--((A2164=$A$3:$A$2785)*$H$3:$H$2785&gt;H2164))+1</f>
        <v>31</v>
      </c>
    </row>
    <row r="2165" s="1" customFormat="true" customHeight="true" spans="1:10">
      <c r="A2165" s="4" t="str">
        <f t="shared" si="254"/>
        <v>029</v>
      </c>
      <c r="B2165" s="4" t="s">
        <v>41</v>
      </c>
      <c r="C2165" s="4" t="str">
        <f>"石绍峰"</f>
        <v>石绍峰</v>
      </c>
      <c r="D2165" s="4" t="str">
        <f>"2021021003"</f>
        <v>2021021003</v>
      </c>
      <c r="E2165" s="4" t="str">
        <f t="shared" ref="E2165:E2178" si="263">"10"</f>
        <v>10</v>
      </c>
      <c r="F2165" s="4" t="str">
        <f>"03"</f>
        <v>03</v>
      </c>
      <c r="G2165" s="4" t="s">
        <v>27</v>
      </c>
      <c r="H2165" s="5">
        <v>0</v>
      </c>
      <c r="I2165" s="6" t="s">
        <v>13</v>
      </c>
      <c r="J2165" s="4">
        <f>SUMPRODUCT(--((A2165=$A$3:$A$2785)*$H$3:$H$2785&gt;H2165))+1</f>
        <v>31</v>
      </c>
    </row>
    <row r="2166" s="1" customFormat="true" customHeight="true" spans="1:10">
      <c r="A2166" s="4" t="str">
        <f t="shared" si="254"/>
        <v>029</v>
      </c>
      <c r="B2166" s="4" t="s">
        <v>41</v>
      </c>
      <c r="C2166" s="4" t="str">
        <f>"雷鹏"</f>
        <v>雷鹏</v>
      </c>
      <c r="D2166" s="4" t="str">
        <f>"2021021004"</f>
        <v>2021021004</v>
      </c>
      <c r="E2166" s="4" t="str">
        <f t="shared" si="263"/>
        <v>10</v>
      </c>
      <c r="F2166" s="4" t="str">
        <f>"04"</f>
        <v>04</v>
      </c>
      <c r="G2166" s="4" t="s">
        <v>27</v>
      </c>
      <c r="H2166" s="5">
        <v>0</v>
      </c>
      <c r="I2166" s="6" t="s">
        <v>13</v>
      </c>
      <c r="J2166" s="4">
        <f>SUMPRODUCT(--((A2166=$A$3:$A$2785)*$H$3:$H$2785&gt;H2166))+1</f>
        <v>31</v>
      </c>
    </row>
    <row r="2167" s="1" customFormat="true" customHeight="true" spans="1:10">
      <c r="A2167" s="4" t="str">
        <f t="shared" si="254"/>
        <v>029</v>
      </c>
      <c r="B2167" s="4" t="s">
        <v>41</v>
      </c>
      <c r="C2167" s="4" t="str">
        <f>"左鑫"</f>
        <v>左鑫</v>
      </c>
      <c r="D2167" s="4" t="str">
        <f>"2021021006"</f>
        <v>2021021006</v>
      </c>
      <c r="E2167" s="4" t="str">
        <f t="shared" si="263"/>
        <v>10</v>
      </c>
      <c r="F2167" s="4" t="str">
        <f>"06"</f>
        <v>06</v>
      </c>
      <c r="G2167" s="4" t="s">
        <v>27</v>
      </c>
      <c r="H2167" s="5">
        <v>0</v>
      </c>
      <c r="I2167" s="6" t="s">
        <v>13</v>
      </c>
      <c r="J2167" s="4">
        <f>SUMPRODUCT(--((A2167=$A$3:$A$2785)*$H$3:$H$2785&gt;H2167))+1</f>
        <v>31</v>
      </c>
    </row>
    <row r="2168" s="1" customFormat="true" customHeight="true" spans="1:10">
      <c r="A2168" s="4" t="str">
        <f t="shared" si="254"/>
        <v>029</v>
      </c>
      <c r="B2168" s="4" t="s">
        <v>41</v>
      </c>
      <c r="C2168" s="4" t="str">
        <f>"黄昌涛"</f>
        <v>黄昌涛</v>
      </c>
      <c r="D2168" s="4" t="str">
        <f>"2021021009"</f>
        <v>2021021009</v>
      </c>
      <c r="E2168" s="4" t="str">
        <f t="shared" si="263"/>
        <v>10</v>
      </c>
      <c r="F2168" s="4" t="str">
        <f>"09"</f>
        <v>09</v>
      </c>
      <c r="G2168" s="4" t="s">
        <v>27</v>
      </c>
      <c r="H2168" s="5">
        <v>0</v>
      </c>
      <c r="I2168" s="6" t="s">
        <v>13</v>
      </c>
      <c r="J2168" s="4">
        <f>SUMPRODUCT(--((A2168=$A$3:$A$2785)*$H$3:$H$2785&gt;H2168))+1</f>
        <v>31</v>
      </c>
    </row>
    <row r="2169" s="1" customFormat="true" customHeight="true" spans="1:10">
      <c r="A2169" s="4" t="str">
        <f t="shared" si="254"/>
        <v>029</v>
      </c>
      <c r="B2169" s="4" t="s">
        <v>41</v>
      </c>
      <c r="C2169" s="4" t="str">
        <f>"罗猛"</f>
        <v>罗猛</v>
      </c>
      <c r="D2169" s="4" t="str">
        <f>"2021021011"</f>
        <v>2021021011</v>
      </c>
      <c r="E2169" s="4" t="str">
        <f t="shared" si="263"/>
        <v>10</v>
      </c>
      <c r="F2169" s="4" t="str">
        <f>"11"</f>
        <v>11</v>
      </c>
      <c r="G2169" s="4" t="s">
        <v>27</v>
      </c>
      <c r="H2169" s="5">
        <v>0</v>
      </c>
      <c r="I2169" s="6" t="s">
        <v>13</v>
      </c>
      <c r="J2169" s="4">
        <f>SUMPRODUCT(--((A2169=$A$3:$A$2785)*$H$3:$H$2785&gt;H2169))+1</f>
        <v>31</v>
      </c>
    </row>
    <row r="2170" s="1" customFormat="true" customHeight="true" spans="1:10">
      <c r="A2170" s="4" t="str">
        <f t="shared" si="254"/>
        <v>029</v>
      </c>
      <c r="B2170" s="4" t="s">
        <v>41</v>
      </c>
      <c r="C2170" s="4" t="str">
        <f>"吴乐"</f>
        <v>吴乐</v>
      </c>
      <c r="D2170" s="4" t="str">
        <f>"2021021012"</f>
        <v>2021021012</v>
      </c>
      <c r="E2170" s="4" t="str">
        <f t="shared" si="263"/>
        <v>10</v>
      </c>
      <c r="F2170" s="4" t="str">
        <f>"12"</f>
        <v>12</v>
      </c>
      <c r="G2170" s="4" t="s">
        <v>27</v>
      </c>
      <c r="H2170" s="5">
        <v>0</v>
      </c>
      <c r="I2170" s="6" t="s">
        <v>13</v>
      </c>
      <c r="J2170" s="4">
        <f>SUMPRODUCT(--((A2170=$A$3:$A$2785)*$H$3:$H$2785&gt;H2170))+1</f>
        <v>31</v>
      </c>
    </row>
    <row r="2171" s="1" customFormat="true" customHeight="true" spans="1:10">
      <c r="A2171" s="4" t="str">
        <f t="shared" si="254"/>
        <v>029</v>
      </c>
      <c r="B2171" s="4" t="s">
        <v>41</v>
      </c>
      <c r="C2171" s="4" t="str">
        <f>"方毅"</f>
        <v>方毅</v>
      </c>
      <c r="D2171" s="4" t="str">
        <f>"2021021014"</f>
        <v>2021021014</v>
      </c>
      <c r="E2171" s="4" t="str">
        <f t="shared" si="263"/>
        <v>10</v>
      </c>
      <c r="F2171" s="4" t="str">
        <f>"14"</f>
        <v>14</v>
      </c>
      <c r="G2171" s="4" t="s">
        <v>27</v>
      </c>
      <c r="H2171" s="5">
        <v>0</v>
      </c>
      <c r="I2171" s="6" t="s">
        <v>13</v>
      </c>
      <c r="J2171" s="4">
        <f>SUMPRODUCT(--((A2171=$A$3:$A$2785)*$H$3:$H$2785&gt;H2171))+1</f>
        <v>31</v>
      </c>
    </row>
    <row r="2172" s="1" customFormat="true" customHeight="true" spans="1:10">
      <c r="A2172" s="4" t="str">
        <f t="shared" si="254"/>
        <v>029</v>
      </c>
      <c r="B2172" s="4" t="s">
        <v>41</v>
      </c>
      <c r="C2172" s="4" t="str">
        <f>"孙本勇"</f>
        <v>孙本勇</v>
      </c>
      <c r="D2172" s="4" t="str">
        <f>"2021021019"</f>
        <v>2021021019</v>
      </c>
      <c r="E2172" s="4" t="str">
        <f t="shared" si="263"/>
        <v>10</v>
      </c>
      <c r="F2172" s="4" t="str">
        <f>"19"</f>
        <v>19</v>
      </c>
      <c r="G2172" s="4" t="s">
        <v>27</v>
      </c>
      <c r="H2172" s="5">
        <v>0</v>
      </c>
      <c r="I2172" s="6" t="s">
        <v>13</v>
      </c>
      <c r="J2172" s="4">
        <f>SUMPRODUCT(--((A2172=$A$3:$A$2785)*$H$3:$H$2785&gt;H2172))+1</f>
        <v>31</v>
      </c>
    </row>
    <row r="2173" s="1" customFormat="true" customHeight="true" spans="1:10">
      <c r="A2173" s="4" t="str">
        <f t="shared" si="254"/>
        <v>029</v>
      </c>
      <c r="B2173" s="4" t="s">
        <v>41</v>
      </c>
      <c r="C2173" s="4" t="str">
        <f>"赵旋"</f>
        <v>赵旋</v>
      </c>
      <c r="D2173" s="4" t="str">
        <f>"2021021020"</f>
        <v>2021021020</v>
      </c>
      <c r="E2173" s="4" t="str">
        <f t="shared" si="263"/>
        <v>10</v>
      </c>
      <c r="F2173" s="4" t="str">
        <f>"20"</f>
        <v>20</v>
      </c>
      <c r="G2173" s="4" t="s">
        <v>27</v>
      </c>
      <c r="H2173" s="5">
        <v>0</v>
      </c>
      <c r="I2173" s="6" t="s">
        <v>13</v>
      </c>
      <c r="J2173" s="4">
        <f>SUMPRODUCT(--((A2173=$A$3:$A$2785)*$H$3:$H$2785&gt;H2173))+1</f>
        <v>31</v>
      </c>
    </row>
    <row r="2174" s="1" customFormat="true" customHeight="true" spans="1:10">
      <c r="A2174" s="4" t="str">
        <f t="shared" si="254"/>
        <v>029</v>
      </c>
      <c r="B2174" s="4" t="s">
        <v>41</v>
      </c>
      <c r="C2174" s="4" t="str">
        <f>"张雪"</f>
        <v>张雪</v>
      </c>
      <c r="D2174" s="4" t="str">
        <f>"2021021025"</f>
        <v>2021021025</v>
      </c>
      <c r="E2174" s="4" t="str">
        <f t="shared" si="263"/>
        <v>10</v>
      </c>
      <c r="F2174" s="4" t="str">
        <f>"25"</f>
        <v>25</v>
      </c>
      <c r="G2174" s="4" t="s">
        <v>27</v>
      </c>
      <c r="H2174" s="5">
        <v>0</v>
      </c>
      <c r="I2174" s="6" t="s">
        <v>13</v>
      </c>
      <c r="J2174" s="4">
        <f>SUMPRODUCT(--((A2174=$A$3:$A$2785)*$H$3:$H$2785&gt;H2174))+1</f>
        <v>31</v>
      </c>
    </row>
    <row r="2175" s="1" customFormat="true" customHeight="true" spans="1:10">
      <c r="A2175" s="4" t="str">
        <f t="shared" si="254"/>
        <v>029</v>
      </c>
      <c r="B2175" s="4" t="s">
        <v>41</v>
      </c>
      <c r="C2175" s="4" t="str">
        <f>"易浩"</f>
        <v>易浩</v>
      </c>
      <c r="D2175" s="4" t="str">
        <f>"2021021027"</f>
        <v>2021021027</v>
      </c>
      <c r="E2175" s="4" t="str">
        <f t="shared" si="263"/>
        <v>10</v>
      </c>
      <c r="F2175" s="4" t="str">
        <f>"27"</f>
        <v>27</v>
      </c>
      <c r="G2175" s="4" t="s">
        <v>27</v>
      </c>
      <c r="H2175" s="5">
        <v>0</v>
      </c>
      <c r="I2175" s="6" t="s">
        <v>13</v>
      </c>
      <c r="J2175" s="4">
        <f>SUMPRODUCT(--((A2175=$A$3:$A$2785)*$H$3:$H$2785&gt;H2175))+1</f>
        <v>31</v>
      </c>
    </row>
    <row r="2176" s="1" customFormat="true" customHeight="true" spans="1:10">
      <c r="A2176" s="4" t="str">
        <f t="shared" si="254"/>
        <v>029</v>
      </c>
      <c r="B2176" s="4" t="s">
        <v>41</v>
      </c>
      <c r="C2176" s="4" t="str">
        <f>"杨庆立"</f>
        <v>杨庆立</v>
      </c>
      <c r="D2176" s="4" t="str">
        <f>"2021021028"</f>
        <v>2021021028</v>
      </c>
      <c r="E2176" s="4" t="str">
        <f t="shared" si="263"/>
        <v>10</v>
      </c>
      <c r="F2176" s="4" t="str">
        <f>"28"</f>
        <v>28</v>
      </c>
      <c r="G2176" s="4" t="s">
        <v>27</v>
      </c>
      <c r="H2176" s="5">
        <v>0</v>
      </c>
      <c r="I2176" s="6" t="s">
        <v>13</v>
      </c>
      <c r="J2176" s="4">
        <f>SUMPRODUCT(--((A2176=$A$3:$A$2785)*$H$3:$H$2785&gt;H2176))+1</f>
        <v>31</v>
      </c>
    </row>
    <row r="2177" s="1" customFormat="true" customHeight="true" spans="1:10">
      <c r="A2177" s="4" t="str">
        <f t="shared" si="254"/>
        <v>029</v>
      </c>
      <c r="B2177" s="4" t="s">
        <v>41</v>
      </c>
      <c r="C2177" s="4" t="str">
        <f>"吴泽河"</f>
        <v>吴泽河</v>
      </c>
      <c r="D2177" s="4" t="str">
        <f>"2021021029"</f>
        <v>2021021029</v>
      </c>
      <c r="E2177" s="4" t="str">
        <f t="shared" si="263"/>
        <v>10</v>
      </c>
      <c r="F2177" s="4" t="str">
        <f>"29"</f>
        <v>29</v>
      </c>
      <c r="G2177" s="4" t="s">
        <v>27</v>
      </c>
      <c r="H2177" s="5">
        <v>0</v>
      </c>
      <c r="I2177" s="6" t="s">
        <v>13</v>
      </c>
      <c r="J2177" s="4">
        <f>SUMPRODUCT(--((A2177=$A$3:$A$2785)*$H$3:$H$2785&gt;H2177))+1</f>
        <v>31</v>
      </c>
    </row>
    <row r="2178" s="1" customFormat="true" customHeight="true" spans="1:10">
      <c r="A2178" s="4" t="str">
        <f t="shared" si="254"/>
        <v>029</v>
      </c>
      <c r="B2178" s="4" t="s">
        <v>41</v>
      </c>
      <c r="C2178" s="4" t="str">
        <f>"杨欢"</f>
        <v>杨欢</v>
      </c>
      <c r="D2178" s="4" t="str">
        <f>"2021021030"</f>
        <v>2021021030</v>
      </c>
      <c r="E2178" s="4" t="str">
        <f t="shared" si="263"/>
        <v>10</v>
      </c>
      <c r="F2178" s="4" t="str">
        <f>"30"</f>
        <v>30</v>
      </c>
      <c r="G2178" s="4" t="s">
        <v>27</v>
      </c>
      <c r="H2178" s="5">
        <v>0</v>
      </c>
      <c r="I2178" s="6" t="s">
        <v>13</v>
      </c>
      <c r="J2178" s="4">
        <f>SUMPRODUCT(--((A2178=$A$3:$A$2785)*$H$3:$H$2785&gt;H2178))+1</f>
        <v>31</v>
      </c>
    </row>
    <row r="2179" s="1" customFormat="true" customHeight="true" spans="1:10">
      <c r="A2179" s="4" t="str">
        <f t="shared" si="254"/>
        <v>029</v>
      </c>
      <c r="B2179" s="4" t="s">
        <v>41</v>
      </c>
      <c r="C2179" s="4" t="str">
        <f>"谢芳"</f>
        <v>谢芳</v>
      </c>
      <c r="D2179" s="4" t="str">
        <f>"2021021102"</f>
        <v>2021021102</v>
      </c>
      <c r="E2179" s="4" t="str">
        <f t="shared" ref="E2179:E2197" si="264">"11"</f>
        <v>11</v>
      </c>
      <c r="F2179" s="4" t="str">
        <f>"02"</f>
        <v>02</v>
      </c>
      <c r="G2179" s="4" t="s">
        <v>27</v>
      </c>
      <c r="H2179" s="5">
        <v>0</v>
      </c>
      <c r="I2179" s="6" t="s">
        <v>13</v>
      </c>
      <c r="J2179" s="4">
        <f>SUMPRODUCT(--((A2179=$A$3:$A$2785)*$H$3:$H$2785&gt;H2179))+1</f>
        <v>31</v>
      </c>
    </row>
    <row r="2180" s="1" customFormat="true" customHeight="true" spans="1:10">
      <c r="A2180" s="4" t="str">
        <f t="shared" si="254"/>
        <v>029</v>
      </c>
      <c r="B2180" s="4" t="s">
        <v>41</v>
      </c>
      <c r="C2180" s="4" t="str">
        <f>"熊晟然"</f>
        <v>熊晟然</v>
      </c>
      <c r="D2180" s="4" t="str">
        <f>"2021021104"</f>
        <v>2021021104</v>
      </c>
      <c r="E2180" s="4" t="str">
        <f t="shared" si="264"/>
        <v>11</v>
      </c>
      <c r="F2180" s="4" t="str">
        <f>"04"</f>
        <v>04</v>
      </c>
      <c r="G2180" s="4" t="s">
        <v>27</v>
      </c>
      <c r="H2180" s="5">
        <v>0</v>
      </c>
      <c r="I2180" s="6" t="s">
        <v>13</v>
      </c>
      <c r="J2180" s="4">
        <f>SUMPRODUCT(--((A2180=$A$3:$A$2785)*$H$3:$H$2785&gt;H2180))+1</f>
        <v>31</v>
      </c>
    </row>
    <row r="2181" s="1" customFormat="true" customHeight="true" spans="1:10">
      <c r="A2181" s="4" t="str">
        <f t="shared" si="254"/>
        <v>029</v>
      </c>
      <c r="B2181" s="4" t="s">
        <v>41</v>
      </c>
      <c r="C2181" s="4" t="str">
        <f>"陈棚"</f>
        <v>陈棚</v>
      </c>
      <c r="D2181" s="4" t="str">
        <f>"2021021106"</f>
        <v>2021021106</v>
      </c>
      <c r="E2181" s="4" t="str">
        <f t="shared" si="264"/>
        <v>11</v>
      </c>
      <c r="F2181" s="4" t="str">
        <f>"06"</f>
        <v>06</v>
      </c>
      <c r="G2181" s="4" t="s">
        <v>27</v>
      </c>
      <c r="H2181" s="5">
        <v>0</v>
      </c>
      <c r="I2181" s="6" t="s">
        <v>13</v>
      </c>
      <c r="J2181" s="4">
        <f>SUMPRODUCT(--((A2181=$A$3:$A$2785)*$H$3:$H$2785&gt;H2181))+1</f>
        <v>31</v>
      </c>
    </row>
    <row r="2182" s="1" customFormat="true" customHeight="true" spans="1:10">
      <c r="A2182" s="4" t="str">
        <f t="shared" ref="A2182:A2197" si="265">"030"</f>
        <v>030</v>
      </c>
      <c r="B2182" s="4" t="s">
        <v>42</v>
      </c>
      <c r="C2182" s="4" t="str">
        <f>"张俏文"</f>
        <v>张俏文</v>
      </c>
      <c r="D2182" s="4" t="str">
        <f>"2021021114"</f>
        <v>2021021114</v>
      </c>
      <c r="E2182" s="4" t="str">
        <f t="shared" si="264"/>
        <v>11</v>
      </c>
      <c r="F2182" s="4" t="str">
        <f>"14"</f>
        <v>14</v>
      </c>
      <c r="G2182" s="4" t="s">
        <v>27</v>
      </c>
      <c r="H2182" s="5">
        <v>69</v>
      </c>
      <c r="I2182" s="4"/>
      <c r="J2182" s="4">
        <f>SUMPRODUCT(--((A2182=$A$3:$A$2785)*$H$3:$H$2785&gt;H2182))+1</f>
        <v>1</v>
      </c>
    </row>
    <row r="2183" s="1" customFormat="true" customHeight="true" spans="1:10">
      <c r="A2183" s="4" t="str">
        <f t="shared" si="265"/>
        <v>030</v>
      </c>
      <c r="B2183" s="4" t="s">
        <v>42</v>
      </c>
      <c r="C2183" s="4" t="str">
        <f>"杨贤增"</f>
        <v>杨贤增</v>
      </c>
      <c r="D2183" s="4" t="str">
        <f>"2021021116"</f>
        <v>2021021116</v>
      </c>
      <c r="E2183" s="4" t="str">
        <f t="shared" si="264"/>
        <v>11</v>
      </c>
      <c r="F2183" s="4" t="str">
        <f>"16"</f>
        <v>16</v>
      </c>
      <c r="G2183" s="4" t="s">
        <v>27</v>
      </c>
      <c r="H2183" s="5">
        <v>67.7</v>
      </c>
      <c r="I2183" s="4"/>
      <c r="J2183" s="4">
        <f>SUMPRODUCT(--((A2183=$A$3:$A$2785)*$H$3:$H$2785&gt;H2183))+1</f>
        <v>2</v>
      </c>
    </row>
    <row r="2184" s="1" customFormat="true" customHeight="true" spans="1:10">
      <c r="A2184" s="4" t="str">
        <f t="shared" si="265"/>
        <v>030</v>
      </c>
      <c r="B2184" s="4" t="s">
        <v>42</v>
      </c>
      <c r="C2184" s="4" t="str">
        <f>"熊南川"</f>
        <v>熊南川</v>
      </c>
      <c r="D2184" s="4" t="str">
        <f>"2021021123"</f>
        <v>2021021123</v>
      </c>
      <c r="E2184" s="4" t="str">
        <f t="shared" si="264"/>
        <v>11</v>
      </c>
      <c r="F2184" s="4" t="str">
        <f>"23"</f>
        <v>23</v>
      </c>
      <c r="G2184" s="4" t="s">
        <v>27</v>
      </c>
      <c r="H2184" s="5">
        <v>65.95</v>
      </c>
      <c r="I2184" s="4"/>
      <c r="J2184" s="4">
        <f>SUMPRODUCT(--((A2184=$A$3:$A$2785)*$H$3:$H$2785&gt;H2184))+1</f>
        <v>3</v>
      </c>
    </row>
    <row r="2185" s="1" customFormat="true" customHeight="true" spans="1:10">
      <c r="A2185" s="4" t="str">
        <f t="shared" si="265"/>
        <v>030</v>
      </c>
      <c r="B2185" s="4" t="s">
        <v>42</v>
      </c>
      <c r="C2185" s="4" t="str">
        <f>"张斌"</f>
        <v>张斌</v>
      </c>
      <c r="D2185" s="4" t="str">
        <f>"2021021113"</f>
        <v>2021021113</v>
      </c>
      <c r="E2185" s="4" t="str">
        <f t="shared" si="264"/>
        <v>11</v>
      </c>
      <c r="F2185" s="4" t="str">
        <f>"13"</f>
        <v>13</v>
      </c>
      <c r="G2185" s="4" t="s">
        <v>27</v>
      </c>
      <c r="H2185" s="5">
        <v>64.65</v>
      </c>
      <c r="I2185" s="4"/>
      <c r="J2185" s="4">
        <f>SUMPRODUCT(--((A2185=$A$3:$A$2785)*$H$3:$H$2785&gt;H2185))+1</f>
        <v>4</v>
      </c>
    </row>
    <row r="2186" s="1" customFormat="true" customHeight="true" spans="1:10">
      <c r="A2186" s="4" t="str">
        <f t="shared" si="265"/>
        <v>030</v>
      </c>
      <c r="B2186" s="4" t="s">
        <v>42</v>
      </c>
      <c r="C2186" s="4" t="str">
        <f>"尹明欢"</f>
        <v>尹明欢</v>
      </c>
      <c r="D2186" s="4" t="str">
        <f>"2021021110"</f>
        <v>2021021110</v>
      </c>
      <c r="E2186" s="4" t="str">
        <f t="shared" si="264"/>
        <v>11</v>
      </c>
      <c r="F2186" s="4" t="str">
        <f>"10"</f>
        <v>10</v>
      </c>
      <c r="G2186" s="4" t="s">
        <v>27</v>
      </c>
      <c r="H2186" s="5">
        <v>60.8</v>
      </c>
      <c r="I2186" s="4"/>
      <c r="J2186" s="4">
        <f>SUMPRODUCT(--((A2186=$A$3:$A$2785)*$H$3:$H$2785&gt;H2186))+1</f>
        <v>5</v>
      </c>
    </row>
    <row r="2187" s="1" customFormat="true" customHeight="true" spans="1:10">
      <c r="A2187" s="4" t="str">
        <f t="shared" si="265"/>
        <v>030</v>
      </c>
      <c r="B2187" s="4" t="s">
        <v>42</v>
      </c>
      <c r="C2187" s="4" t="str">
        <f>"龚泽"</f>
        <v>龚泽</v>
      </c>
      <c r="D2187" s="4" t="str">
        <f>"2021021119"</f>
        <v>2021021119</v>
      </c>
      <c r="E2187" s="4" t="str">
        <f t="shared" si="264"/>
        <v>11</v>
      </c>
      <c r="F2187" s="4" t="str">
        <f>"19"</f>
        <v>19</v>
      </c>
      <c r="G2187" s="4" t="s">
        <v>27</v>
      </c>
      <c r="H2187" s="5">
        <v>57.45</v>
      </c>
      <c r="I2187" s="4"/>
      <c r="J2187" s="4">
        <f>SUMPRODUCT(--((A2187=$A$3:$A$2785)*$H$3:$H$2785&gt;H2187))+1</f>
        <v>6</v>
      </c>
    </row>
    <row r="2188" s="1" customFormat="true" customHeight="true" spans="1:10">
      <c r="A2188" s="4" t="str">
        <f t="shared" si="265"/>
        <v>030</v>
      </c>
      <c r="B2188" s="4" t="s">
        <v>42</v>
      </c>
      <c r="C2188" s="4" t="str">
        <f>"张雨萱"</f>
        <v>张雨萱</v>
      </c>
      <c r="D2188" s="4" t="str">
        <f>"2021021115"</f>
        <v>2021021115</v>
      </c>
      <c r="E2188" s="4" t="str">
        <f t="shared" si="264"/>
        <v>11</v>
      </c>
      <c r="F2188" s="4" t="str">
        <f>"15"</f>
        <v>15</v>
      </c>
      <c r="G2188" s="4" t="s">
        <v>27</v>
      </c>
      <c r="H2188" s="5">
        <v>56.85</v>
      </c>
      <c r="I2188" s="4"/>
      <c r="J2188" s="4">
        <f>SUMPRODUCT(--((A2188=$A$3:$A$2785)*$H$3:$H$2785&gt;H2188))+1</f>
        <v>7</v>
      </c>
    </row>
    <row r="2189" s="1" customFormat="true" customHeight="true" spans="1:10">
      <c r="A2189" s="4" t="str">
        <f t="shared" si="265"/>
        <v>030</v>
      </c>
      <c r="B2189" s="4" t="s">
        <v>42</v>
      </c>
      <c r="C2189" s="4" t="str">
        <f>"周易嘉琪"</f>
        <v>周易嘉琪</v>
      </c>
      <c r="D2189" s="4" t="str">
        <f>"2021021121"</f>
        <v>2021021121</v>
      </c>
      <c r="E2189" s="4" t="str">
        <f t="shared" si="264"/>
        <v>11</v>
      </c>
      <c r="F2189" s="4" t="str">
        <f>"21"</f>
        <v>21</v>
      </c>
      <c r="G2189" s="4" t="s">
        <v>27</v>
      </c>
      <c r="H2189" s="5">
        <v>55.8</v>
      </c>
      <c r="I2189" s="4"/>
      <c r="J2189" s="4">
        <f>SUMPRODUCT(--((A2189=$A$3:$A$2785)*$H$3:$H$2785&gt;H2189))+1</f>
        <v>8</v>
      </c>
    </row>
    <row r="2190" s="1" customFormat="true" customHeight="true" spans="1:10">
      <c r="A2190" s="4" t="str">
        <f t="shared" si="265"/>
        <v>030</v>
      </c>
      <c r="B2190" s="4" t="s">
        <v>42</v>
      </c>
      <c r="C2190" s="4" t="str">
        <f>"舒祥洲"</f>
        <v>舒祥洲</v>
      </c>
      <c r="D2190" s="4" t="str">
        <f>"2021021120"</f>
        <v>2021021120</v>
      </c>
      <c r="E2190" s="4" t="str">
        <f t="shared" si="264"/>
        <v>11</v>
      </c>
      <c r="F2190" s="4" t="str">
        <f>"20"</f>
        <v>20</v>
      </c>
      <c r="G2190" s="4" t="s">
        <v>27</v>
      </c>
      <c r="H2190" s="5">
        <v>55</v>
      </c>
      <c r="I2190" s="4"/>
      <c r="J2190" s="4">
        <f>SUMPRODUCT(--((A2190=$A$3:$A$2785)*$H$3:$H$2785&gt;H2190))+1</f>
        <v>9</v>
      </c>
    </row>
    <row r="2191" s="1" customFormat="true" customHeight="true" spans="1:10">
      <c r="A2191" s="4" t="str">
        <f t="shared" si="265"/>
        <v>030</v>
      </c>
      <c r="B2191" s="4" t="s">
        <v>42</v>
      </c>
      <c r="C2191" s="4" t="str">
        <f>"陈志雄"</f>
        <v>陈志雄</v>
      </c>
      <c r="D2191" s="4" t="str">
        <f>"2021021111"</f>
        <v>2021021111</v>
      </c>
      <c r="E2191" s="4" t="str">
        <f t="shared" si="264"/>
        <v>11</v>
      </c>
      <c r="F2191" s="4" t="str">
        <f>"11"</f>
        <v>11</v>
      </c>
      <c r="G2191" s="4" t="s">
        <v>27</v>
      </c>
      <c r="H2191" s="5">
        <v>53.25</v>
      </c>
      <c r="I2191" s="4"/>
      <c r="J2191" s="4">
        <f>SUMPRODUCT(--((A2191=$A$3:$A$2785)*$H$3:$H$2785&gt;H2191))+1</f>
        <v>10</v>
      </c>
    </row>
    <row r="2192" s="1" customFormat="true" customHeight="true" spans="1:10">
      <c r="A2192" s="4" t="str">
        <f t="shared" si="265"/>
        <v>030</v>
      </c>
      <c r="B2192" s="4" t="s">
        <v>42</v>
      </c>
      <c r="C2192" s="4" t="str">
        <f>"黄贻军"</f>
        <v>黄贻军</v>
      </c>
      <c r="D2192" s="4" t="str">
        <f>"2021021118"</f>
        <v>2021021118</v>
      </c>
      <c r="E2192" s="4" t="str">
        <f t="shared" si="264"/>
        <v>11</v>
      </c>
      <c r="F2192" s="4" t="str">
        <f>"18"</f>
        <v>18</v>
      </c>
      <c r="G2192" s="4" t="s">
        <v>27</v>
      </c>
      <c r="H2192" s="5">
        <v>48.6</v>
      </c>
      <c r="I2192" s="4"/>
      <c r="J2192" s="4">
        <f>SUMPRODUCT(--((A2192=$A$3:$A$2785)*$H$3:$H$2785&gt;H2192))+1</f>
        <v>11</v>
      </c>
    </row>
    <row r="2193" s="1" customFormat="true" customHeight="true" spans="1:10">
      <c r="A2193" s="4" t="str">
        <f t="shared" si="265"/>
        <v>030</v>
      </c>
      <c r="B2193" s="4" t="s">
        <v>42</v>
      </c>
      <c r="C2193" s="4" t="str">
        <f>"陈广"</f>
        <v>陈广</v>
      </c>
      <c r="D2193" s="4" t="str">
        <f>"2021021108"</f>
        <v>2021021108</v>
      </c>
      <c r="E2193" s="4" t="str">
        <f t="shared" si="264"/>
        <v>11</v>
      </c>
      <c r="F2193" s="4" t="str">
        <f>"08"</f>
        <v>08</v>
      </c>
      <c r="G2193" s="4" t="s">
        <v>27</v>
      </c>
      <c r="H2193" s="5">
        <v>0</v>
      </c>
      <c r="I2193" s="6" t="s">
        <v>13</v>
      </c>
      <c r="J2193" s="4">
        <f>SUMPRODUCT(--((A2193=$A$3:$A$2785)*$H$3:$H$2785&gt;H2193))+1</f>
        <v>12</v>
      </c>
    </row>
    <row r="2194" s="1" customFormat="true" customHeight="true" spans="1:10">
      <c r="A2194" s="4" t="str">
        <f t="shared" si="265"/>
        <v>030</v>
      </c>
      <c r="B2194" s="4" t="s">
        <v>42</v>
      </c>
      <c r="C2194" s="4" t="str">
        <f>"舒志腾"</f>
        <v>舒志腾</v>
      </c>
      <c r="D2194" s="4" t="str">
        <f>"2021021109"</f>
        <v>2021021109</v>
      </c>
      <c r="E2194" s="4" t="str">
        <f t="shared" si="264"/>
        <v>11</v>
      </c>
      <c r="F2194" s="4" t="str">
        <f>"09"</f>
        <v>09</v>
      </c>
      <c r="G2194" s="4" t="s">
        <v>27</v>
      </c>
      <c r="H2194" s="5">
        <v>0</v>
      </c>
      <c r="I2194" s="6" t="s">
        <v>13</v>
      </c>
      <c r="J2194" s="4">
        <f>SUMPRODUCT(--((A2194=$A$3:$A$2785)*$H$3:$H$2785&gt;H2194))+1</f>
        <v>12</v>
      </c>
    </row>
    <row r="2195" s="1" customFormat="true" customHeight="true" spans="1:10">
      <c r="A2195" s="4" t="str">
        <f t="shared" si="265"/>
        <v>030</v>
      </c>
      <c r="B2195" s="4" t="s">
        <v>42</v>
      </c>
      <c r="C2195" s="4" t="str">
        <f>"杨燕"</f>
        <v>杨燕</v>
      </c>
      <c r="D2195" s="4" t="str">
        <f>"2021021112"</f>
        <v>2021021112</v>
      </c>
      <c r="E2195" s="4" t="str">
        <f t="shared" si="264"/>
        <v>11</v>
      </c>
      <c r="F2195" s="4" t="str">
        <f>"12"</f>
        <v>12</v>
      </c>
      <c r="G2195" s="4" t="s">
        <v>27</v>
      </c>
      <c r="H2195" s="5">
        <v>0</v>
      </c>
      <c r="I2195" s="6" t="s">
        <v>13</v>
      </c>
      <c r="J2195" s="4">
        <f>SUMPRODUCT(--((A2195=$A$3:$A$2785)*$H$3:$H$2785&gt;H2195))+1</f>
        <v>12</v>
      </c>
    </row>
    <row r="2196" s="1" customFormat="true" customHeight="true" spans="1:10">
      <c r="A2196" s="4" t="str">
        <f t="shared" si="265"/>
        <v>030</v>
      </c>
      <c r="B2196" s="4" t="s">
        <v>42</v>
      </c>
      <c r="C2196" s="4" t="str">
        <f>"蒋林志"</f>
        <v>蒋林志</v>
      </c>
      <c r="D2196" s="4" t="str">
        <f>"2021021117"</f>
        <v>2021021117</v>
      </c>
      <c r="E2196" s="4" t="str">
        <f t="shared" si="264"/>
        <v>11</v>
      </c>
      <c r="F2196" s="4" t="str">
        <f>"17"</f>
        <v>17</v>
      </c>
      <c r="G2196" s="4" t="s">
        <v>27</v>
      </c>
      <c r="H2196" s="5">
        <v>0</v>
      </c>
      <c r="I2196" s="6" t="s">
        <v>13</v>
      </c>
      <c r="J2196" s="4">
        <f>SUMPRODUCT(--((A2196=$A$3:$A$2785)*$H$3:$H$2785&gt;H2196))+1</f>
        <v>12</v>
      </c>
    </row>
    <row r="2197" s="1" customFormat="true" customHeight="true" spans="1:10">
      <c r="A2197" s="4" t="str">
        <f t="shared" si="265"/>
        <v>030</v>
      </c>
      <c r="B2197" s="4" t="s">
        <v>42</v>
      </c>
      <c r="C2197" s="4" t="str">
        <f>"龙文渊"</f>
        <v>龙文渊</v>
      </c>
      <c r="D2197" s="4" t="str">
        <f>"2021021122"</f>
        <v>2021021122</v>
      </c>
      <c r="E2197" s="4" t="str">
        <f t="shared" si="264"/>
        <v>11</v>
      </c>
      <c r="F2197" s="4" t="str">
        <f>"22"</f>
        <v>22</v>
      </c>
      <c r="G2197" s="4" t="s">
        <v>27</v>
      </c>
      <c r="H2197" s="5">
        <v>0</v>
      </c>
      <c r="I2197" s="6" t="s">
        <v>13</v>
      </c>
      <c r="J2197" s="4">
        <f>SUMPRODUCT(--((A2197=$A$3:$A$2785)*$H$3:$H$2785&gt;H2197))+1</f>
        <v>12</v>
      </c>
    </row>
    <row r="2198" s="1" customFormat="true" customHeight="true" spans="1:10">
      <c r="A2198" s="4" t="str">
        <f t="shared" ref="A2198:A2261" si="266">"031"</f>
        <v>031</v>
      </c>
      <c r="B2198" s="4" t="s">
        <v>43</v>
      </c>
      <c r="C2198" s="4" t="str">
        <f>"张静"</f>
        <v>张静</v>
      </c>
      <c r="D2198" s="4" t="str">
        <f>"2021021804"</f>
        <v>2021021804</v>
      </c>
      <c r="E2198" s="4" t="str">
        <f t="shared" ref="E2198:E2200" si="267">"18"</f>
        <v>18</v>
      </c>
      <c r="F2198" s="4" t="str">
        <f>"04"</f>
        <v>04</v>
      </c>
      <c r="G2198" s="4" t="s">
        <v>27</v>
      </c>
      <c r="H2198" s="5">
        <v>88.05</v>
      </c>
      <c r="I2198" s="4"/>
      <c r="J2198" s="4">
        <f>SUMPRODUCT(--((A2198=$A$3:$A$2785)*$H$3:$H$2785&gt;H2198))+1</f>
        <v>1</v>
      </c>
    </row>
    <row r="2199" s="1" customFormat="true" customHeight="true" spans="1:10">
      <c r="A2199" s="4" t="str">
        <f t="shared" si="266"/>
        <v>031</v>
      </c>
      <c r="B2199" s="4" t="s">
        <v>43</v>
      </c>
      <c r="C2199" s="4" t="str">
        <f>"杨淑媛"</f>
        <v>杨淑媛</v>
      </c>
      <c r="D2199" s="4" t="str">
        <f>"2021021812"</f>
        <v>2021021812</v>
      </c>
      <c r="E2199" s="4" t="str">
        <f t="shared" si="267"/>
        <v>18</v>
      </c>
      <c r="F2199" s="4" t="str">
        <f>"12"</f>
        <v>12</v>
      </c>
      <c r="G2199" s="4" t="s">
        <v>27</v>
      </c>
      <c r="H2199" s="5">
        <v>85.55</v>
      </c>
      <c r="I2199" s="4"/>
      <c r="J2199" s="4">
        <f>SUMPRODUCT(--((A2199=$A$3:$A$2785)*$H$3:$H$2785&gt;H2199))+1</f>
        <v>2</v>
      </c>
    </row>
    <row r="2200" s="1" customFormat="true" customHeight="true" spans="1:10">
      <c r="A2200" s="4" t="str">
        <f t="shared" si="266"/>
        <v>031</v>
      </c>
      <c r="B2200" s="4" t="s">
        <v>43</v>
      </c>
      <c r="C2200" s="4" t="str">
        <f>"唐青容"</f>
        <v>唐青容</v>
      </c>
      <c r="D2200" s="4" t="str">
        <f>"2021021811"</f>
        <v>2021021811</v>
      </c>
      <c r="E2200" s="4" t="str">
        <f t="shared" si="267"/>
        <v>18</v>
      </c>
      <c r="F2200" s="4" t="str">
        <f>"11"</f>
        <v>11</v>
      </c>
      <c r="G2200" s="4" t="s">
        <v>27</v>
      </c>
      <c r="H2200" s="5">
        <v>85.4</v>
      </c>
      <c r="I2200" s="4"/>
      <c r="J2200" s="4">
        <f>SUMPRODUCT(--((A2200=$A$3:$A$2785)*$H$3:$H$2785&gt;H2200))+1</f>
        <v>3</v>
      </c>
    </row>
    <row r="2201" s="1" customFormat="true" customHeight="true" spans="1:10">
      <c r="A2201" s="4" t="str">
        <f t="shared" si="266"/>
        <v>031</v>
      </c>
      <c r="B2201" s="4" t="s">
        <v>43</v>
      </c>
      <c r="C2201" s="4" t="str">
        <f>"唐诗芬"</f>
        <v>唐诗芬</v>
      </c>
      <c r="D2201" s="4" t="str">
        <f>"2021021719"</f>
        <v>2021021719</v>
      </c>
      <c r="E2201" s="4" t="str">
        <f t="shared" ref="E2201:E2206" si="268">"17"</f>
        <v>17</v>
      </c>
      <c r="F2201" s="4" t="str">
        <f>"19"</f>
        <v>19</v>
      </c>
      <c r="G2201" s="4" t="s">
        <v>27</v>
      </c>
      <c r="H2201" s="5">
        <v>85.35</v>
      </c>
      <c r="I2201" s="4"/>
      <c r="J2201" s="4">
        <f>SUMPRODUCT(--((A2201=$A$3:$A$2785)*$H$3:$H$2785&gt;H2201))+1</f>
        <v>4</v>
      </c>
    </row>
    <row r="2202" s="1" customFormat="true" customHeight="true" spans="1:10">
      <c r="A2202" s="4" t="str">
        <f t="shared" si="266"/>
        <v>031</v>
      </c>
      <c r="B2202" s="4" t="s">
        <v>43</v>
      </c>
      <c r="C2202" s="4" t="str">
        <f>"龚琴智"</f>
        <v>龚琴智</v>
      </c>
      <c r="D2202" s="4" t="str">
        <f>"2021021820"</f>
        <v>2021021820</v>
      </c>
      <c r="E2202" s="4" t="str">
        <f>"18"</f>
        <v>18</v>
      </c>
      <c r="F2202" s="4" t="str">
        <f>"20"</f>
        <v>20</v>
      </c>
      <c r="G2202" s="4" t="s">
        <v>27</v>
      </c>
      <c r="H2202" s="5">
        <v>85.3</v>
      </c>
      <c r="I2202" s="4"/>
      <c r="J2202" s="4">
        <f>SUMPRODUCT(--((A2202=$A$3:$A$2785)*$H$3:$H$2785&gt;H2202))+1</f>
        <v>5</v>
      </c>
    </row>
    <row r="2203" s="1" customFormat="true" customHeight="true" spans="1:10">
      <c r="A2203" s="4" t="str">
        <f t="shared" si="266"/>
        <v>031</v>
      </c>
      <c r="B2203" s="4" t="s">
        <v>43</v>
      </c>
      <c r="C2203" s="4" t="str">
        <f>"曾艳琼"</f>
        <v>曾艳琼</v>
      </c>
      <c r="D2203" s="4" t="str">
        <f>"2021021802"</f>
        <v>2021021802</v>
      </c>
      <c r="E2203" s="4" t="str">
        <f>"18"</f>
        <v>18</v>
      </c>
      <c r="F2203" s="4" t="str">
        <f>"02"</f>
        <v>02</v>
      </c>
      <c r="G2203" s="4" t="s">
        <v>27</v>
      </c>
      <c r="H2203" s="5">
        <v>84.25</v>
      </c>
      <c r="I2203" s="4"/>
      <c r="J2203" s="4">
        <f>SUMPRODUCT(--((A2203=$A$3:$A$2785)*$H$3:$H$2785&gt;H2203))+1</f>
        <v>6</v>
      </c>
    </row>
    <row r="2204" s="1" customFormat="true" customHeight="true" spans="1:10">
      <c r="A2204" s="4" t="str">
        <f t="shared" si="266"/>
        <v>031</v>
      </c>
      <c r="B2204" s="4" t="s">
        <v>43</v>
      </c>
      <c r="C2204" s="4" t="str">
        <f>"杨信美"</f>
        <v>杨信美</v>
      </c>
      <c r="D2204" s="4" t="str">
        <f>"2021021705"</f>
        <v>2021021705</v>
      </c>
      <c r="E2204" s="4" t="str">
        <f t="shared" si="268"/>
        <v>17</v>
      </c>
      <c r="F2204" s="4" t="str">
        <f>"05"</f>
        <v>05</v>
      </c>
      <c r="G2204" s="4" t="s">
        <v>27</v>
      </c>
      <c r="H2204" s="5">
        <v>84.15</v>
      </c>
      <c r="I2204" s="4"/>
      <c r="J2204" s="4">
        <f>SUMPRODUCT(--((A2204=$A$3:$A$2785)*$H$3:$H$2785&gt;H2204))+1</f>
        <v>7</v>
      </c>
    </row>
    <row r="2205" s="1" customFormat="true" customHeight="true" spans="1:10">
      <c r="A2205" s="4" t="str">
        <f t="shared" si="266"/>
        <v>031</v>
      </c>
      <c r="B2205" s="4" t="s">
        <v>43</v>
      </c>
      <c r="C2205" s="4" t="str">
        <f>"石玉霞"</f>
        <v>石玉霞</v>
      </c>
      <c r="D2205" s="4" t="str">
        <f>"2021021524"</f>
        <v>2021021524</v>
      </c>
      <c r="E2205" s="4" t="str">
        <f>"15"</f>
        <v>15</v>
      </c>
      <c r="F2205" s="4" t="str">
        <f>"24"</f>
        <v>24</v>
      </c>
      <c r="G2205" s="4" t="s">
        <v>27</v>
      </c>
      <c r="H2205" s="5">
        <v>83.75</v>
      </c>
      <c r="I2205" s="4"/>
      <c r="J2205" s="4">
        <f>SUMPRODUCT(--((A2205=$A$3:$A$2785)*$H$3:$H$2785&gt;H2205))+1</f>
        <v>8</v>
      </c>
    </row>
    <row r="2206" s="1" customFormat="true" customHeight="true" spans="1:10">
      <c r="A2206" s="4" t="str">
        <f t="shared" si="266"/>
        <v>031</v>
      </c>
      <c r="B2206" s="4" t="s">
        <v>43</v>
      </c>
      <c r="C2206" s="4" t="str">
        <f>"吕燕玲"</f>
        <v>吕燕玲</v>
      </c>
      <c r="D2206" s="4" t="str">
        <f>"2021021729"</f>
        <v>2021021729</v>
      </c>
      <c r="E2206" s="4" t="str">
        <f t="shared" si="268"/>
        <v>17</v>
      </c>
      <c r="F2206" s="4" t="str">
        <f>"29"</f>
        <v>29</v>
      </c>
      <c r="G2206" s="4" t="s">
        <v>27</v>
      </c>
      <c r="H2206" s="5">
        <v>83.2</v>
      </c>
      <c r="I2206" s="4"/>
      <c r="J2206" s="4">
        <f>SUMPRODUCT(--((A2206=$A$3:$A$2785)*$H$3:$H$2785&gt;H2206))+1</f>
        <v>9</v>
      </c>
    </row>
    <row r="2207" s="1" customFormat="true" customHeight="true" spans="1:10">
      <c r="A2207" s="4" t="str">
        <f t="shared" si="266"/>
        <v>031</v>
      </c>
      <c r="B2207" s="4" t="s">
        <v>43</v>
      </c>
      <c r="C2207" s="4" t="str">
        <f>"毛婉蓉"</f>
        <v>毛婉蓉</v>
      </c>
      <c r="D2207" s="4" t="str">
        <f>"2021021627"</f>
        <v>2021021627</v>
      </c>
      <c r="E2207" s="4" t="str">
        <f>"16"</f>
        <v>16</v>
      </c>
      <c r="F2207" s="4" t="str">
        <f>"27"</f>
        <v>27</v>
      </c>
      <c r="G2207" s="4" t="s">
        <v>27</v>
      </c>
      <c r="H2207" s="5">
        <v>81.85</v>
      </c>
      <c r="I2207" s="4"/>
      <c r="J2207" s="4">
        <f>SUMPRODUCT(--((A2207=$A$3:$A$2785)*$H$3:$H$2785&gt;H2207))+1</f>
        <v>10</v>
      </c>
    </row>
    <row r="2208" s="1" customFormat="true" customHeight="true" spans="1:10">
      <c r="A2208" s="4" t="str">
        <f t="shared" si="266"/>
        <v>031</v>
      </c>
      <c r="B2208" s="4" t="s">
        <v>43</v>
      </c>
      <c r="C2208" s="4" t="str">
        <f>"张容"</f>
        <v>张容</v>
      </c>
      <c r="D2208" s="4" t="str">
        <f>"2021021815"</f>
        <v>2021021815</v>
      </c>
      <c r="E2208" s="4" t="str">
        <f t="shared" ref="E2208:E2212" si="269">"18"</f>
        <v>18</v>
      </c>
      <c r="F2208" s="4" t="str">
        <f>"15"</f>
        <v>15</v>
      </c>
      <c r="G2208" s="4" t="s">
        <v>27</v>
      </c>
      <c r="H2208" s="5">
        <v>81</v>
      </c>
      <c r="I2208" s="4"/>
      <c r="J2208" s="4">
        <f>SUMPRODUCT(--((A2208=$A$3:$A$2785)*$H$3:$H$2785&gt;H2208))+1</f>
        <v>11</v>
      </c>
    </row>
    <row r="2209" s="1" customFormat="true" customHeight="true" spans="1:10">
      <c r="A2209" s="4" t="str">
        <f t="shared" si="266"/>
        <v>031</v>
      </c>
      <c r="B2209" s="4" t="s">
        <v>43</v>
      </c>
      <c r="C2209" s="4" t="str">
        <f>"陈红月"</f>
        <v>陈红月</v>
      </c>
      <c r="D2209" s="4" t="str">
        <f>"2021021727"</f>
        <v>2021021727</v>
      </c>
      <c r="E2209" s="4" t="str">
        <f t="shared" ref="E2209:E2214" si="270">"17"</f>
        <v>17</v>
      </c>
      <c r="F2209" s="4" t="str">
        <f>"27"</f>
        <v>27</v>
      </c>
      <c r="G2209" s="4" t="s">
        <v>27</v>
      </c>
      <c r="H2209" s="5">
        <v>79.35</v>
      </c>
      <c r="I2209" s="4"/>
      <c r="J2209" s="4">
        <f>SUMPRODUCT(--((A2209=$A$3:$A$2785)*$H$3:$H$2785&gt;H2209))+1</f>
        <v>12</v>
      </c>
    </row>
    <row r="2210" s="1" customFormat="true" customHeight="true" spans="1:10">
      <c r="A2210" s="4" t="str">
        <f t="shared" si="266"/>
        <v>031</v>
      </c>
      <c r="B2210" s="4" t="s">
        <v>43</v>
      </c>
      <c r="C2210" s="4" t="str">
        <f>"彭俊华"</f>
        <v>彭俊华</v>
      </c>
      <c r="D2210" s="4" t="str">
        <f>"2021021817"</f>
        <v>2021021817</v>
      </c>
      <c r="E2210" s="4" t="str">
        <f t="shared" si="269"/>
        <v>18</v>
      </c>
      <c r="F2210" s="4" t="str">
        <f>"17"</f>
        <v>17</v>
      </c>
      <c r="G2210" s="4" t="s">
        <v>27</v>
      </c>
      <c r="H2210" s="5">
        <v>79.3</v>
      </c>
      <c r="I2210" s="4"/>
      <c r="J2210" s="4">
        <f>SUMPRODUCT(--((A2210=$A$3:$A$2785)*$H$3:$H$2785&gt;H2210))+1</f>
        <v>13</v>
      </c>
    </row>
    <row r="2211" s="1" customFormat="true" customHeight="true" spans="1:10">
      <c r="A2211" s="4" t="str">
        <f t="shared" si="266"/>
        <v>031</v>
      </c>
      <c r="B2211" s="4" t="s">
        <v>43</v>
      </c>
      <c r="C2211" s="4" t="str">
        <f>"李旭菲"</f>
        <v>李旭菲</v>
      </c>
      <c r="D2211" s="4" t="str">
        <f>"2021021706"</f>
        <v>2021021706</v>
      </c>
      <c r="E2211" s="4" t="str">
        <f t="shared" si="270"/>
        <v>17</v>
      </c>
      <c r="F2211" s="4" t="str">
        <f>"06"</f>
        <v>06</v>
      </c>
      <c r="G2211" s="4" t="s">
        <v>27</v>
      </c>
      <c r="H2211" s="5">
        <v>79.25</v>
      </c>
      <c r="I2211" s="4"/>
      <c r="J2211" s="4">
        <f>SUMPRODUCT(--((A2211=$A$3:$A$2785)*$H$3:$H$2785&gt;H2211))+1</f>
        <v>14</v>
      </c>
    </row>
    <row r="2212" s="1" customFormat="true" customHeight="true" spans="1:10">
      <c r="A2212" s="4" t="str">
        <f t="shared" si="266"/>
        <v>031</v>
      </c>
      <c r="B2212" s="4" t="s">
        <v>43</v>
      </c>
      <c r="C2212" s="4" t="str">
        <f>"吴玉洁"</f>
        <v>吴玉洁</v>
      </c>
      <c r="D2212" s="4" t="str">
        <f>"2021021818"</f>
        <v>2021021818</v>
      </c>
      <c r="E2212" s="4" t="str">
        <f t="shared" si="269"/>
        <v>18</v>
      </c>
      <c r="F2212" s="4" t="str">
        <f>"18"</f>
        <v>18</v>
      </c>
      <c r="G2212" s="4" t="s">
        <v>27</v>
      </c>
      <c r="H2212" s="5">
        <v>79.2</v>
      </c>
      <c r="I2212" s="4"/>
      <c r="J2212" s="4">
        <f>SUMPRODUCT(--((A2212=$A$3:$A$2785)*$H$3:$H$2785&gt;H2212))+1</f>
        <v>15</v>
      </c>
    </row>
    <row r="2213" s="1" customFormat="true" customHeight="true" spans="1:10">
      <c r="A2213" s="4" t="str">
        <f t="shared" si="266"/>
        <v>031</v>
      </c>
      <c r="B2213" s="4" t="s">
        <v>43</v>
      </c>
      <c r="C2213" s="4" t="str">
        <f>"李妍"</f>
        <v>李妍</v>
      </c>
      <c r="D2213" s="4" t="str">
        <f>"2021021614"</f>
        <v>2021021614</v>
      </c>
      <c r="E2213" s="4" t="str">
        <f t="shared" ref="E2213:E2218" si="271">"16"</f>
        <v>16</v>
      </c>
      <c r="F2213" s="4" t="str">
        <f>"14"</f>
        <v>14</v>
      </c>
      <c r="G2213" s="4" t="s">
        <v>27</v>
      </c>
      <c r="H2213" s="5">
        <v>79.15</v>
      </c>
      <c r="I2213" s="4"/>
      <c r="J2213" s="4">
        <f>SUMPRODUCT(--((A2213=$A$3:$A$2785)*$H$3:$H$2785&gt;H2213))+1</f>
        <v>16</v>
      </c>
    </row>
    <row r="2214" s="1" customFormat="true" customHeight="true" spans="1:10">
      <c r="A2214" s="4" t="str">
        <f t="shared" si="266"/>
        <v>031</v>
      </c>
      <c r="B2214" s="4" t="s">
        <v>43</v>
      </c>
      <c r="C2214" s="4" t="str">
        <f>"张麒"</f>
        <v>张麒</v>
      </c>
      <c r="D2214" s="4" t="str">
        <f>"2021021713"</f>
        <v>2021021713</v>
      </c>
      <c r="E2214" s="4" t="str">
        <f t="shared" si="270"/>
        <v>17</v>
      </c>
      <c r="F2214" s="4" t="str">
        <f>"13"</f>
        <v>13</v>
      </c>
      <c r="G2214" s="4" t="s">
        <v>27</v>
      </c>
      <c r="H2214" s="5">
        <v>78.9</v>
      </c>
      <c r="I2214" s="4"/>
      <c r="J2214" s="4">
        <f>SUMPRODUCT(--((A2214=$A$3:$A$2785)*$H$3:$H$2785&gt;H2214))+1</f>
        <v>17</v>
      </c>
    </row>
    <row r="2215" s="1" customFormat="true" customHeight="true" spans="1:10">
      <c r="A2215" s="4" t="str">
        <f t="shared" si="266"/>
        <v>031</v>
      </c>
      <c r="B2215" s="4" t="s">
        <v>43</v>
      </c>
      <c r="C2215" s="4" t="str">
        <f>"张曦曦"</f>
        <v>张曦曦</v>
      </c>
      <c r="D2215" s="4" t="str">
        <f>"2021021612"</f>
        <v>2021021612</v>
      </c>
      <c r="E2215" s="4" t="str">
        <f t="shared" si="271"/>
        <v>16</v>
      </c>
      <c r="F2215" s="4" t="str">
        <f>"12"</f>
        <v>12</v>
      </c>
      <c r="G2215" s="4" t="s">
        <v>27</v>
      </c>
      <c r="H2215" s="5">
        <v>78</v>
      </c>
      <c r="I2215" s="4"/>
      <c r="J2215" s="4">
        <f>SUMPRODUCT(--((A2215=$A$3:$A$2785)*$H$3:$H$2785&gt;H2215))+1</f>
        <v>18</v>
      </c>
    </row>
    <row r="2216" s="1" customFormat="true" customHeight="true" spans="1:10">
      <c r="A2216" s="4" t="str">
        <f t="shared" si="266"/>
        <v>031</v>
      </c>
      <c r="B2216" s="4" t="s">
        <v>43</v>
      </c>
      <c r="C2216" s="4" t="str">
        <f>"蒲倩"</f>
        <v>蒲倩</v>
      </c>
      <c r="D2216" s="4" t="str">
        <f>"2021021814"</f>
        <v>2021021814</v>
      </c>
      <c r="E2216" s="4" t="str">
        <f>"18"</f>
        <v>18</v>
      </c>
      <c r="F2216" s="4" t="str">
        <f>"14"</f>
        <v>14</v>
      </c>
      <c r="G2216" s="4" t="s">
        <v>27</v>
      </c>
      <c r="H2216" s="5">
        <v>77.6</v>
      </c>
      <c r="I2216" s="4"/>
      <c r="J2216" s="4">
        <f>SUMPRODUCT(--((A2216=$A$3:$A$2785)*$H$3:$H$2785&gt;H2216))+1</f>
        <v>19</v>
      </c>
    </row>
    <row r="2217" s="1" customFormat="true" customHeight="true" spans="1:10">
      <c r="A2217" s="4" t="str">
        <f t="shared" si="266"/>
        <v>031</v>
      </c>
      <c r="B2217" s="4" t="s">
        <v>43</v>
      </c>
      <c r="C2217" s="4" t="str">
        <f>"杨莉莎"</f>
        <v>杨莉莎</v>
      </c>
      <c r="D2217" s="4" t="str">
        <f>"2021021530"</f>
        <v>2021021530</v>
      </c>
      <c r="E2217" s="4" t="str">
        <f>"15"</f>
        <v>15</v>
      </c>
      <c r="F2217" s="4" t="str">
        <f>"30"</f>
        <v>30</v>
      </c>
      <c r="G2217" s="4" t="s">
        <v>27</v>
      </c>
      <c r="H2217" s="5">
        <v>77.55</v>
      </c>
      <c r="I2217" s="4"/>
      <c r="J2217" s="4">
        <f>SUMPRODUCT(--((A2217=$A$3:$A$2785)*$H$3:$H$2785&gt;H2217))+1</f>
        <v>20</v>
      </c>
    </row>
    <row r="2218" s="1" customFormat="true" customHeight="true" spans="1:10">
      <c r="A2218" s="4" t="str">
        <f t="shared" si="266"/>
        <v>031</v>
      </c>
      <c r="B2218" s="4" t="s">
        <v>43</v>
      </c>
      <c r="C2218" s="4" t="str">
        <f>"周佳"</f>
        <v>周佳</v>
      </c>
      <c r="D2218" s="4" t="str">
        <f>"2021021604"</f>
        <v>2021021604</v>
      </c>
      <c r="E2218" s="4" t="str">
        <f t="shared" si="271"/>
        <v>16</v>
      </c>
      <c r="F2218" s="4" t="str">
        <f>"04"</f>
        <v>04</v>
      </c>
      <c r="G2218" s="4" t="s">
        <v>27</v>
      </c>
      <c r="H2218" s="5">
        <v>77.25</v>
      </c>
      <c r="I2218" s="4"/>
      <c r="J2218" s="4">
        <f>SUMPRODUCT(--((A2218=$A$3:$A$2785)*$H$3:$H$2785&gt;H2218))+1</f>
        <v>21</v>
      </c>
    </row>
    <row r="2219" s="1" customFormat="true" customHeight="true" spans="1:10">
      <c r="A2219" s="4" t="str">
        <f t="shared" si="266"/>
        <v>031</v>
      </c>
      <c r="B2219" s="4" t="s">
        <v>43</v>
      </c>
      <c r="C2219" s="4" t="str">
        <f>"胡丹"</f>
        <v>胡丹</v>
      </c>
      <c r="D2219" s="4" t="str">
        <f>"2021021711"</f>
        <v>2021021711</v>
      </c>
      <c r="E2219" s="4" t="str">
        <f t="shared" ref="E2219:E2221" si="272">"17"</f>
        <v>17</v>
      </c>
      <c r="F2219" s="4" t="str">
        <f>"11"</f>
        <v>11</v>
      </c>
      <c r="G2219" s="4" t="s">
        <v>27</v>
      </c>
      <c r="H2219" s="5">
        <v>76.8</v>
      </c>
      <c r="I2219" s="4"/>
      <c r="J2219" s="4">
        <f>SUMPRODUCT(--((A2219=$A$3:$A$2785)*$H$3:$H$2785&gt;H2219))+1</f>
        <v>22</v>
      </c>
    </row>
    <row r="2220" s="1" customFormat="true" customHeight="true" spans="1:10">
      <c r="A2220" s="4" t="str">
        <f t="shared" si="266"/>
        <v>031</v>
      </c>
      <c r="B2220" s="4" t="s">
        <v>43</v>
      </c>
      <c r="C2220" s="4" t="str">
        <f>"胡宇华"</f>
        <v>胡宇华</v>
      </c>
      <c r="D2220" s="4" t="str">
        <f>"2021021716"</f>
        <v>2021021716</v>
      </c>
      <c r="E2220" s="4" t="str">
        <f t="shared" si="272"/>
        <v>17</v>
      </c>
      <c r="F2220" s="4" t="str">
        <f>"16"</f>
        <v>16</v>
      </c>
      <c r="G2220" s="4" t="s">
        <v>27</v>
      </c>
      <c r="H2220" s="5">
        <v>76.65</v>
      </c>
      <c r="I2220" s="4"/>
      <c r="J2220" s="4">
        <f>SUMPRODUCT(--((A2220=$A$3:$A$2785)*$H$3:$H$2785&gt;H2220))+1</f>
        <v>23</v>
      </c>
    </row>
    <row r="2221" s="1" customFormat="true" customHeight="true" spans="1:10">
      <c r="A2221" s="4" t="str">
        <f t="shared" si="266"/>
        <v>031</v>
      </c>
      <c r="B2221" s="4" t="s">
        <v>43</v>
      </c>
      <c r="C2221" s="4" t="str">
        <f>"梁亦涵"</f>
        <v>梁亦涵</v>
      </c>
      <c r="D2221" s="4" t="str">
        <f>"2021021707"</f>
        <v>2021021707</v>
      </c>
      <c r="E2221" s="4" t="str">
        <f t="shared" si="272"/>
        <v>17</v>
      </c>
      <c r="F2221" s="4" t="str">
        <f>"07"</f>
        <v>07</v>
      </c>
      <c r="G2221" s="4" t="s">
        <v>27</v>
      </c>
      <c r="H2221" s="5">
        <v>76.15</v>
      </c>
      <c r="I2221" s="4"/>
      <c r="J2221" s="4">
        <f>SUMPRODUCT(--((A2221=$A$3:$A$2785)*$H$3:$H$2785&gt;H2221))+1</f>
        <v>24</v>
      </c>
    </row>
    <row r="2222" s="1" customFormat="true" customHeight="true" spans="1:10">
      <c r="A2222" s="4" t="str">
        <f t="shared" si="266"/>
        <v>031</v>
      </c>
      <c r="B2222" s="4" t="s">
        <v>43</v>
      </c>
      <c r="C2222" s="4" t="str">
        <f>"潘世松"</f>
        <v>潘世松</v>
      </c>
      <c r="D2222" s="4" t="str">
        <f>"2021021809"</f>
        <v>2021021809</v>
      </c>
      <c r="E2222" s="4" t="str">
        <f>"18"</f>
        <v>18</v>
      </c>
      <c r="F2222" s="4" t="str">
        <f>"09"</f>
        <v>09</v>
      </c>
      <c r="G2222" s="4" t="s">
        <v>27</v>
      </c>
      <c r="H2222" s="5">
        <v>75.7</v>
      </c>
      <c r="I2222" s="4"/>
      <c r="J2222" s="4">
        <f>SUMPRODUCT(--((A2222=$A$3:$A$2785)*$H$3:$H$2785&gt;H2222))+1</f>
        <v>25</v>
      </c>
    </row>
    <row r="2223" s="1" customFormat="true" customHeight="true" spans="1:10">
      <c r="A2223" s="4" t="str">
        <f t="shared" si="266"/>
        <v>031</v>
      </c>
      <c r="B2223" s="4" t="s">
        <v>43</v>
      </c>
      <c r="C2223" s="4" t="str">
        <f>"龙群"</f>
        <v>龙群</v>
      </c>
      <c r="D2223" s="4" t="str">
        <f>"2021021621"</f>
        <v>2021021621</v>
      </c>
      <c r="E2223" s="4" t="str">
        <f t="shared" ref="E2223:E2227" si="273">"16"</f>
        <v>16</v>
      </c>
      <c r="F2223" s="4" t="str">
        <f>"21"</f>
        <v>21</v>
      </c>
      <c r="G2223" s="4" t="s">
        <v>27</v>
      </c>
      <c r="H2223" s="5">
        <v>75.4</v>
      </c>
      <c r="I2223" s="4"/>
      <c r="J2223" s="4">
        <f>SUMPRODUCT(--((A2223=$A$3:$A$2785)*$H$3:$H$2785&gt;H2223))+1</f>
        <v>26</v>
      </c>
    </row>
    <row r="2224" s="1" customFormat="true" customHeight="true" spans="1:10">
      <c r="A2224" s="4" t="str">
        <f t="shared" si="266"/>
        <v>031</v>
      </c>
      <c r="B2224" s="4" t="s">
        <v>43</v>
      </c>
      <c r="C2224" s="4" t="str">
        <f>"杨雪"</f>
        <v>杨雪</v>
      </c>
      <c r="D2224" s="4" t="str">
        <f>"2021021619"</f>
        <v>2021021619</v>
      </c>
      <c r="E2224" s="4" t="str">
        <f t="shared" si="273"/>
        <v>16</v>
      </c>
      <c r="F2224" s="4" t="str">
        <f>"19"</f>
        <v>19</v>
      </c>
      <c r="G2224" s="4" t="s">
        <v>27</v>
      </c>
      <c r="H2224" s="5">
        <v>74.85</v>
      </c>
      <c r="I2224" s="4"/>
      <c r="J2224" s="4">
        <f>SUMPRODUCT(--((A2224=$A$3:$A$2785)*$H$3:$H$2785&gt;H2224))+1</f>
        <v>27</v>
      </c>
    </row>
    <row r="2225" s="1" customFormat="true" customHeight="true" spans="1:10">
      <c r="A2225" s="4" t="str">
        <f t="shared" si="266"/>
        <v>031</v>
      </c>
      <c r="B2225" s="4" t="s">
        <v>43</v>
      </c>
      <c r="C2225" s="4" t="str">
        <f>"李林星"</f>
        <v>李林星</v>
      </c>
      <c r="D2225" s="4" t="str">
        <f>"2021021610"</f>
        <v>2021021610</v>
      </c>
      <c r="E2225" s="4" t="str">
        <f t="shared" si="273"/>
        <v>16</v>
      </c>
      <c r="F2225" s="4" t="str">
        <f>"10"</f>
        <v>10</v>
      </c>
      <c r="G2225" s="4" t="s">
        <v>27</v>
      </c>
      <c r="H2225" s="5">
        <v>74.5</v>
      </c>
      <c r="I2225" s="4"/>
      <c r="J2225" s="4">
        <f>SUMPRODUCT(--((A2225=$A$3:$A$2785)*$H$3:$H$2785&gt;H2225))+1</f>
        <v>28</v>
      </c>
    </row>
    <row r="2226" s="1" customFormat="true" customHeight="true" spans="1:10">
      <c r="A2226" s="4" t="str">
        <f t="shared" si="266"/>
        <v>031</v>
      </c>
      <c r="B2226" s="4" t="s">
        <v>43</v>
      </c>
      <c r="C2226" s="4" t="str">
        <f>"王晶"</f>
        <v>王晶</v>
      </c>
      <c r="D2226" s="4" t="str">
        <f>"2021021609"</f>
        <v>2021021609</v>
      </c>
      <c r="E2226" s="4" t="str">
        <f t="shared" si="273"/>
        <v>16</v>
      </c>
      <c r="F2226" s="4" t="str">
        <f>"09"</f>
        <v>09</v>
      </c>
      <c r="G2226" s="4" t="s">
        <v>27</v>
      </c>
      <c r="H2226" s="5">
        <v>73.9</v>
      </c>
      <c r="I2226" s="4"/>
      <c r="J2226" s="4">
        <f>SUMPRODUCT(--((A2226=$A$3:$A$2785)*$H$3:$H$2785&gt;H2226))+1</f>
        <v>29</v>
      </c>
    </row>
    <row r="2227" s="1" customFormat="true" customHeight="true" spans="1:10">
      <c r="A2227" s="4" t="str">
        <f t="shared" si="266"/>
        <v>031</v>
      </c>
      <c r="B2227" s="4" t="s">
        <v>43</v>
      </c>
      <c r="C2227" s="4" t="str">
        <f>"陈含俣"</f>
        <v>陈含俣</v>
      </c>
      <c r="D2227" s="4" t="str">
        <f>"2021021603"</f>
        <v>2021021603</v>
      </c>
      <c r="E2227" s="4" t="str">
        <f t="shared" si="273"/>
        <v>16</v>
      </c>
      <c r="F2227" s="4" t="str">
        <f>"03"</f>
        <v>03</v>
      </c>
      <c r="G2227" s="4" t="s">
        <v>27</v>
      </c>
      <c r="H2227" s="5">
        <v>73.85</v>
      </c>
      <c r="I2227" s="4"/>
      <c r="J2227" s="4">
        <f>SUMPRODUCT(--((A2227=$A$3:$A$2785)*$H$3:$H$2785&gt;H2227))+1</f>
        <v>30</v>
      </c>
    </row>
    <row r="2228" s="1" customFormat="true" customHeight="true" spans="1:10">
      <c r="A2228" s="4" t="str">
        <f t="shared" si="266"/>
        <v>031</v>
      </c>
      <c r="B2228" s="4" t="s">
        <v>43</v>
      </c>
      <c r="C2228" s="4" t="str">
        <f>"雷蕾"</f>
        <v>雷蕾</v>
      </c>
      <c r="D2228" s="4" t="str">
        <f>"2021021718"</f>
        <v>2021021718</v>
      </c>
      <c r="E2228" s="4" t="str">
        <f t="shared" ref="E2228:E2233" si="274">"17"</f>
        <v>17</v>
      </c>
      <c r="F2228" s="4" t="str">
        <f>"18"</f>
        <v>18</v>
      </c>
      <c r="G2228" s="4" t="s">
        <v>27</v>
      </c>
      <c r="H2228" s="5">
        <v>73.3</v>
      </c>
      <c r="I2228" s="4"/>
      <c r="J2228" s="4">
        <f>SUMPRODUCT(--((A2228=$A$3:$A$2785)*$H$3:$H$2785&gt;H2228))+1</f>
        <v>31</v>
      </c>
    </row>
    <row r="2229" s="1" customFormat="true" customHeight="true" spans="1:10">
      <c r="A2229" s="4" t="str">
        <f t="shared" si="266"/>
        <v>031</v>
      </c>
      <c r="B2229" s="4" t="s">
        <v>43</v>
      </c>
      <c r="C2229" s="4" t="str">
        <f>"唐凤"</f>
        <v>唐凤</v>
      </c>
      <c r="D2229" s="4" t="str">
        <f>"2021021617"</f>
        <v>2021021617</v>
      </c>
      <c r="E2229" s="4" t="str">
        <f>"16"</f>
        <v>16</v>
      </c>
      <c r="F2229" s="4" t="str">
        <f>"17"</f>
        <v>17</v>
      </c>
      <c r="G2229" s="4" t="s">
        <v>27</v>
      </c>
      <c r="H2229" s="5">
        <v>73.15</v>
      </c>
      <c r="I2229" s="4"/>
      <c r="J2229" s="4">
        <f>SUMPRODUCT(--((A2229=$A$3:$A$2785)*$H$3:$H$2785&gt;H2229))+1</f>
        <v>32</v>
      </c>
    </row>
    <row r="2230" s="1" customFormat="true" customHeight="true" spans="1:10">
      <c r="A2230" s="4" t="str">
        <f t="shared" si="266"/>
        <v>031</v>
      </c>
      <c r="B2230" s="4" t="s">
        <v>43</v>
      </c>
      <c r="C2230" s="4" t="str">
        <f>"张雨霏"</f>
        <v>张雨霏</v>
      </c>
      <c r="D2230" s="4" t="str">
        <f>"2021021725"</f>
        <v>2021021725</v>
      </c>
      <c r="E2230" s="4" t="str">
        <f t="shared" si="274"/>
        <v>17</v>
      </c>
      <c r="F2230" s="4" t="str">
        <f>"25"</f>
        <v>25</v>
      </c>
      <c r="G2230" s="4" t="s">
        <v>27</v>
      </c>
      <c r="H2230" s="5">
        <v>72.45</v>
      </c>
      <c r="I2230" s="4"/>
      <c r="J2230" s="4">
        <f>SUMPRODUCT(--((A2230=$A$3:$A$2785)*$H$3:$H$2785&gt;H2230))+1</f>
        <v>33</v>
      </c>
    </row>
    <row r="2231" s="1" customFormat="true" customHeight="true" spans="1:10">
      <c r="A2231" s="4" t="str">
        <f t="shared" si="266"/>
        <v>031</v>
      </c>
      <c r="B2231" s="4" t="s">
        <v>43</v>
      </c>
      <c r="C2231" s="4" t="str">
        <f>"刘秀"</f>
        <v>刘秀</v>
      </c>
      <c r="D2231" s="4" t="str">
        <f>"2021021806"</f>
        <v>2021021806</v>
      </c>
      <c r="E2231" s="4" t="str">
        <f t="shared" ref="E2231:E2234" si="275">"18"</f>
        <v>18</v>
      </c>
      <c r="F2231" s="4" t="str">
        <f>"06"</f>
        <v>06</v>
      </c>
      <c r="G2231" s="4" t="s">
        <v>27</v>
      </c>
      <c r="H2231" s="5">
        <v>72</v>
      </c>
      <c r="I2231" s="4"/>
      <c r="J2231" s="4">
        <f>SUMPRODUCT(--((A2231=$A$3:$A$2785)*$H$3:$H$2785&gt;H2231))+1</f>
        <v>34</v>
      </c>
    </row>
    <row r="2232" s="1" customFormat="true" customHeight="true" spans="1:10">
      <c r="A2232" s="4" t="str">
        <f t="shared" si="266"/>
        <v>031</v>
      </c>
      <c r="B2232" s="4" t="s">
        <v>43</v>
      </c>
      <c r="C2232" s="4" t="str">
        <f>"王可微"</f>
        <v>王可微</v>
      </c>
      <c r="D2232" s="4" t="str">
        <f>"2021021816"</f>
        <v>2021021816</v>
      </c>
      <c r="E2232" s="4" t="str">
        <f t="shared" si="275"/>
        <v>18</v>
      </c>
      <c r="F2232" s="4" t="str">
        <f>"16"</f>
        <v>16</v>
      </c>
      <c r="G2232" s="4" t="s">
        <v>27</v>
      </c>
      <c r="H2232" s="5">
        <v>71.5</v>
      </c>
      <c r="I2232" s="4"/>
      <c r="J2232" s="4">
        <f>SUMPRODUCT(--((A2232=$A$3:$A$2785)*$H$3:$H$2785&gt;H2232))+1</f>
        <v>35</v>
      </c>
    </row>
    <row r="2233" s="1" customFormat="true" customHeight="true" spans="1:10">
      <c r="A2233" s="4" t="str">
        <f t="shared" si="266"/>
        <v>031</v>
      </c>
      <c r="B2233" s="4" t="s">
        <v>43</v>
      </c>
      <c r="C2233" s="4" t="str">
        <f>"舒雅晴"</f>
        <v>舒雅晴</v>
      </c>
      <c r="D2233" s="4" t="str">
        <f>"2021021728"</f>
        <v>2021021728</v>
      </c>
      <c r="E2233" s="4" t="str">
        <f t="shared" si="274"/>
        <v>17</v>
      </c>
      <c r="F2233" s="4" t="str">
        <f>"28"</f>
        <v>28</v>
      </c>
      <c r="G2233" s="4" t="s">
        <v>27</v>
      </c>
      <c r="H2233" s="5">
        <v>69.5</v>
      </c>
      <c r="I2233" s="4"/>
      <c r="J2233" s="4">
        <f>SUMPRODUCT(--((A2233=$A$3:$A$2785)*$H$3:$H$2785&gt;H2233))+1</f>
        <v>36</v>
      </c>
    </row>
    <row r="2234" s="1" customFormat="true" customHeight="true" spans="1:10">
      <c r="A2234" s="4" t="str">
        <f t="shared" si="266"/>
        <v>031</v>
      </c>
      <c r="B2234" s="4" t="s">
        <v>43</v>
      </c>
      <c r="C2234" s="4" t="str">
        <f>"龙诚"</f>
        <v>龙诚</v>
      </c>
      <c r="D2234" s="4" t="str">
        <f>"2021021810"</f>
        <v>2021021810</v>
      </c>
      <c r="E2234" s="4" t="str">
        <f t="shared" si="275"/>
        <v>18</v>
      </c>
      <c r="F2234" s="4" t="str">
        <f>"10"</f>
        <v>10</v>
      </c>
      <c r="G2234" s="4" t="s">
        <v>27</v>
      </c>
      <c r="H2234" s="5">
        <v>69.3</v>
      </c>
      <c r="I2234" s="4"/>
      <c r="J2234" s="4">
        <f>SUMPRODUCT(--((A2234=$A$3:$A$2785)*$H$3:$H$2785&gt;H2234))+1</f>
        <v>37</v>
      </c>
    </row>
    <row r="2235" s="1" customFormat="true" customHeight="true" spans="1:10">
      <c r="A2235" s="4" t="str">
        <f t="shared" si="266"/>
        <v>031</v>
      </c>
      <c r="B2235" s="4" t="s">
        <v>43</v>
      </c>
      <c r="C2235" s="4" t="str">
        <f>"梁姗姗"</f>
        <v>梁姗姗</v>
      </c>
      <c r="D2235" s="4" t="str">
        <f>"2021021712"</f>
        <v>2021021712</v>
      </c>
      <c r="E2235" s="4" t="str">
        <f t="shared" ref="E2235:E2237" si="276">"17"</f>
        <v>17</v>
      </c>
      <c r="F2235" s="4" t="str">
        <f>"12"</f>
        <v>12</v>
      </c>
      <c r="G2235" s="4" t="s">
        <v>27</v>
      </c>
      <c r="H2235" s="5">
        <v>68.1</v>
      </c>
      <c r="I2235" s="4"/>
      <c r="J2235" s="4">
        <f>SUMPRODUCT(--((A2235=$A$3:$A$2785)*$H$3:$H$2785&gt;H2235))+1</f>
        <v>38</v>
      </c>
    </row>
    <row r="2236" s="1" customFormat="true" customHeight="true" spans="1:10">
      <c r="A2236" s="4" t="str">
        <f t="shared" si="266"/>
        <v>031</v>
      </c>
      <c r="B2236" s="4" t="s">
        <v>43</v>
      </c>
      <c r="C2236" s="4" t="str">
        <f>"田春瑶"</f>
        <v>田春瑶</v>
      </c>
      <c r="D2236" s="4" t="str">
        <f>"2021021721"</f>
        <v>2021021721</v>
      </c>
      <c r="E2236" s="4" t="str">
        <f t="shared" si="276"/>
        <v>17</v>
      </c>
      <c r="F2236" s="4" t="str">
        <f>"21"</f>
        <v>21</v>
      </c>
      <c r="G2236" s="4" t="s">
        <v>27</v>
      </c>
      <c r="H2236" s="5">
        <v>64.85</v>
      </c>
      <c r="I2236" s="4"/>
      <c r="J2236" s="4">
        <f>SUMPRODUCT(--((A2236=$A$3:$A$2785)*$H$3:$H$2785&gt;H2236))+1</f>
        <v>39</v>
      </c>
    </row>
    <row r="2237" s="1" customFormat="true" customHeight="true" spans="1:10">
      <c r="A2237" s="4" t="str">
        <f t="shared" si="266"/>
        <v>031</v>
      </c>
      <c r="B2237" s="4" t="s">
        <v>43</v>
      </c>
      <c r="C2237" s="4" t="str">
        <f>"向庚"</f>
        <v>向庚</v>
      </c>
      <c r="D2237" s="4" t="str">
        <f>"2021021714"</f>
        <v>2021021714</v>
      </c>
      <c r="E2237" s="4" t="str">
        <f t="shared" si="276"/>
        <v>17</v>
      </c>
      <c r="F2237" s="4" t="str">
        <f>"14"</f>
        <v>14</v>
      </c>
      <c r="G2237" s="4" t="s">
        <v>27</v>
      </c>
      <c r="H2237" s="5">
        <v>64.45</v>
      </c>
      <c r="I2237" s="4"/>
      <c r="J2237" s="4">
        <f>SUMPRODUCT(--((A2237=$A$3:$A$2785)*$H$3:$H$2785&gt;H2237))+1</f>
        <v>40</v>
      </c>
    </row>
    <row r="2238" s="1" customFormat="true" customHeight="true" spans="1:10">
      <c r="A2238" s="4" t="str">
        <f t="shared" si="266"/>
        <v>031</v>
      </c>
      <c r="B2238" s="4" t="s">
        <v>43</v>
      </c>
      <c r="C2238" s="4" t="str">
        <f>"谌雪莲"</f>
        <v>谌雪莲</v>
      </c>
      <c r="D2238" s="4" t="str">
        <f>"2021021611"</f>
        <v>2021021611</v>
      </c>
      <c r="E2238" s="4" t="str">
        <f>"16"</f>
        <v>16</v>
      </c>
      <c r="F2238" s="4" t="str">
        <f>"11"</f>
        <v>11</v>
      </c>
      <c r="G2238" s="4" t="s">
        <v>27</v>
      </c>
      <c r="H2238" s="5">
        <v>63.15</v>
      </c>
      <c r="I2238" s="4"/>
      <c r="J2238" s="4">
        <f>SUMPRODUCT(--((A2238=$A$3:$A$2785)*$H$3:$H$2785&gt;H2238))+1</f>
        <v>41</v>
      </c>
    </row>
    <row r="2239" s="1" customFormat="true" customHeight="true" spans="1:10">
      <c r="A2239" s="4" t="str">
        <f t="shared" si="266"/>
        <v>031</v>
      </c>
      <c r="B2239" s="4" t="s">
        <v>43</v>
      </c>
      <c r="C2239" s="4" t="str">
        <f>"吴倩"</f>
        <v>吴倩</v>
      </c>
      <c r="D2239" s="4" t="str">
        <f>"2021021715"</f>
        <v>2021021715</v>
      </c>
      <c r="E2239" s="4" t="str">
        <f>"17"</f>
        <v>17</v>
      </c>
      <c r="F2239" s="4" t="str">
        <f>"15"</f>
        <v>15</v>
      </c>
      <c r="G2239" s="4" t="s">
        <v>27</v>
      </c>
      <c r="H2239" s="5">
        <v>55.15</v>
      </c>
      <c r="I2239" s="4"/>
      <c r="J2239" s="4">
        <f>SUMPRODUCT(--((A2239=$A$3:$A$2785)*$H$3:$H$2785&gt;H2239))+1</f>
        <v>42</v>
      </c>
    </row>
    <row r="2240" s="1" customFormat="true" customHeight="true" spans="1:10">
      <c r="A2240" s="4" t="str">
        <f t="shared" si="266"/>
        <v>031</v>
      </c>
      <c r="B2240" s="4" t="s">
        <v>43</v>
      </c>
      <c r="C2240" s="4" t="str">
        <f>"阳晶"</f>
        <v>阳晶</v>
      </c>
      <c r="D2240" s="4" t="str">
        <f>"2021021608"</f>
        <v>2021021608</v>
      </c>
      <c r="E2240" s="4" t="str">
        <f>"16"</f>
        <v>16</v>
      </c>
      <c r="F2240" s="4" t="str">
        <f>"08"</f>
        <v>08</v>
      </c>
      <c r="G2240" s="4" t="s">
        <v>27</v>
      </c>
      <c r="H2240" s="5">
        <v>53.7</v>
      </c>
      <c r="I2240" s="4"/>
      <c r="J2240" s="4">
        <f>SUMPRODUCT(--((A2240=$A$3:$A$2785)*$H$3:$H$2785&gt;H2240))+1</f>
        <v>43</v>
      </c>
    </row>
    <row r="2241" s="1" customFormat="true" customHeight="true" spans="1:10">
      <c r="A2241" s="4" t="str">
        <f t="shared" si="266"/>
        <v>031</v>
      </c>
      <c r="B2241" s="4" t="s">
        <v>43</v>
      </c>
      <c r="C2241" s="4" t="str">
        <f>"丁田田"</f>
        <v>丁田田</v>
      </c>
      <c r="D2241" s="4" t="str">
        <f>"2021021522"</f>
        <v>2021021522</v>
      </c>
      <c r="E2241" s="4" t="str">
        <f t="shared" ref="E2241:E2247" si="277">"15"</f>
        <v>15</v>
      </c>
      <c r="F2241" s="4" t="str">
        <f>"22"</f>
        <v>22</v>
      </c>
      <c r="G2241" s="4" t="s">
        <v>27</v>
      </c>
      <c r="H2241" s="5">
        <v>0</v>
      </c>
      <c r="I2241" s="6" t="s">
        <v>13</v>
      </c>
      <c r="J2241" s="4">
        <f>SUMPRODUCT(--((A2241=$A$3:$A$2785)*$H$3:$H$2785&gt;H2241))+1</f>
        <v>44</v>
      </c>
    </row>
    <row r="2242" s="1" customFormat="true" customHeight="true" spans="1:10">
      <c r="A2242" s="4" t="str">
        <f t="shared" si="266"/>
        <v>031</v>
      </c>
      <c r="B2242" s="4" t="s">
        <v>43</v>
      </c>
      <c r="C2242" s="4" t="str">
        <f>"严旭"</f>
        <v>严旭</v>
      </c>
      <c r="D2242" s="4" t="str">
        <f>"2021021523"</f>
        <v>2021021523</v>
      </c>
      <c r="E2242" s="4" t="str">
        <f t="shared" si="277"/>
        <v>15</v>
      </c>
      <c r="F2242" s="4" t="str">
        <f>"23"</f>
        <v>23</v>
      </c>
      <c r="G2242" s="4" t="s">
        <v>27</v>
      </c>
      <c r="H2242" s="5">
        <v>0</v>
      </c>
      <c r="I2242" s="6" t="s">
        <v>13</v>
      </c>
      <c r="J2242" s="4">
        <f>SUMPRODUCT(--((A2242=$A$3:$A$2785)*$H$3:$H$2785&gt;H2242))+1</f>
        <v>44</v>
      </c>
    </row>
    <row r="2243" s="1" customFormat="true" customHeight="true" spans="1:10">
      <c r="A2243" s="4" t="str">
        <f t="shared" si="266"/>
        <v>031</v>
      </c>
      <c r="B2243" s="4" t="s">
        <v>43</v>
      </c>
      <c r="C2243" s="4" t="str">
        <f>"杨珊"</f>
        <v>杨珊</v>
      </c>
      <c r="D2243" s="4" t="str">
        <f>"2021021525"</f>
        <v>2021021525</v>
      </c>
      <c r="E2243" s="4" t="str">
        <f t="shared" si="277"/>
        <v>15</v>
      </c>
      <c r="F2243" s="4" t="str">
        <f>"25"</f>
        <v>25</v>
      </c>
      <c r="G2243" s="4" t="s">
        <v>27</v>
      </c>
      <c r="H2243" s="5">
        <v>0</v>
      </c>
      <c r="I2243" s="6" t="s">
        <v>13</v>
      </c>
      <c r="J2243" s="4">
        <f>SUMPRODUCT(--((A2243=$A$3:$A$2785)*$H$3:$H$2785&gt;H2243))+1</f>
        <v>44</v>
      </c>
    </row>
    <row r="2244" s="1" customFormat="true" customHeight="true" spans="1:10">
      <c r="A2244" s="4" t="str">
        <f t="shared" si="266"/>
        <v>031</v>
      </c>
      <c r="B2244" s="4" t="s">
        <v>43</v>
      </c>
      <c r="C2244" s="4" t="str">
        <f>"向敏"</f>
        <v>向敏</v>
      </c>
      <c r="D2244" s="4" t="str">
        <f>"2021021526"</f>
        <v>2021021526</v>
      </c>
      <c r="E2244" s="4" t="str">
        <f t="shared" si="277"/>
        <v>15</v>
      </c>
      <c r="F2244" s="4" t="str">
        <f>"26"</f>
        <v>26</v>
      </c>
      <c r="G2244" s="4" t="s">
        <v>27</v>
      </c>
      <c r="H2244" s="5">
        <v>0</v>
      </c>
      <c r="I2244" s="6" t="s">
        <v>13</v>
      </c>
      <c r="J2244" s="4">
        <f>SUMPRODUCT(--((A2244=$A$3:$A$2785)*$H$3:$H$2785&gt;H2244))+1</f>
        <v>44</v>
      </c>
    </row>
    <row r="2245" s="1" customFormat="true" customHeight="true" spans="1:10">
      <c r="A2245" s="4" t="str">
        <f t="shared" si="266"/>
        <v>031</v>
      </c>
      <c r="B2245" s="4" t="s">
        <v>43</v>
      </c>
      <c r="C2245" s="4" t="str">
        <f>"马文馨"</f>
        <v>马文馨</v>
      </c>
      <c r="D2245" s="4" t="str">
        <f>"2021021527"</f>
        <v>2021021527</v>
      </c>
      <c r="E2245" s="4" t="str">
        <f t="shared" si="277"/>
        <v>15</v>
      </c>
      <c r="F2245" s="4" t="str">
        <f>"27"</f>
        <v>27</v>
      </c>
      <c r="G2245" s="4" t="s">
        <v>27</v>
      </c>
      <c r="H2245" s="5">
        <v>0</v>
      </c>
      <c r="I2245" s="6" t="s">
        <v>13</v>
      </c>
      <c r="J2245" s="4">
        <f>SUMPRODUCT(--((A2245=$A$3:$A$2785)*$H$3:$H$2785&gt;H2245))+1</f>
        <v>44</v>
      </c>
    </row>
    <row r="2246" s="1" customFormat="true" customHeight="true" spans="1:10">
      <c r="A2246" s="4" t="str">
        <f t="shared" si="266"/>
        <v>031</v>
      </c>
      <c r="B2246" s="4" t="s">
        <v>43</v>
      </c>
      <c r="C2246" s="4" t="str">
        <f>"杨妮"</f>
        <v>杨妮</v>
      </c>
      <c r="D2246" s="4" t="str">
        <f>"2021021528"</f>
        <v>2021021528</v>
      </c>
      <c r="E2246" s="4" t="str">
        <f t="shared" si="277"/>
        <v>15</v>
      </c>
      <c r="F2246" s="4" t="str">
        <f>"28"</f>
        <v>28</v>
      </c>
      <c r="G2246" s="4" t="s">
        <v>27</v>
      </c>
      <c r="H2246" s="5">
        <v>0</v>
      </c>
      <c r="I2246" s="6" t="s">
        <v>13</v>
      </c>
      <c r="J2246" s="4">
        <f>SUMPRODUCT(--((A2246=$A$3:$A$2785)*$H$3:$H$2785&gt;H2246))+1</f>
        <v>44</v>
      </c>
    </row>
    <row r="2247" s="1" customFormat="true" customHeight="true" spans="1:10">
      <c r="A2247" s="4" t="str">
        <f t="shared" si="266"/>
        <v>031</v>
      </c>
      <c r="B2247" s="4" t="s">
        <v>43</v>
      </c>
      <c r="C2247" s="4" t="str">
        <f>"张艺宣"</f>
        <v>张艺宣</v>
      </c>
      <c r="D2247" s="4" t="str">
        <f>"2021021529"</f>
        <v>2021021529</v>
      </c>
      <c r="E2247" s="4" t="str">
        <f t="shared" si="277"/>
        <v>15</v>
      </c>
      <c r="F2247" s="4" t="str">
        <f>"29"</f>
        <v>29</v>
      </c>
      <c r="G2247" s="4" t="s">
        <v>27</v>
      </c>
      <c r="H2247" s="5">
        <v>0</v>
      </c>
      <c r="I2247" s="6" t="s">
        <v>13</v>
      </c>
      <c r="J2247" s="4">
        <f>SUMPRODUCT(--((A2247=$A$3:$A$2785)*$H$3:$H$2785&gt;H2247))+1</f>
        <v>44</v>
      </c>
    </row>
    <row r="2248" s="1" customFormat="true" customHeight="true" spans="1:10">
      <c r="A2248" s="4" t="str">
        <f t="shared" si="266"/>
        <v>031</v>
      </c>
      <c r="B2248" s="4" t="s">
        <v>43</v>
      </c>
      <c r="C2248" s="4" t="str">
        <f>"姚旭君"</f>
        <v>姚旭君</v>
      </c>
      <c r="D2248" s="4" t="str">
        <f>"2021021601"</f>
        <v>2021021601</v>
      </c>
      <c r="E2248" s="4" t="str">
        <f t="shared" ref="E2248:E2265" si="278">"16"</f>
        <v>16</v>
      </c>
      <c r="F2248" s="4" t="str">
        <f>"01"</f>
        <v>01</v>
      </c>
      <c r="G2248" s="4" t="s">
        <v>27</v>
      </c>
      <c r="H2248" s="5">
        <v>0</v>
      </c>
      <c r="I2248" s="6" t="s">
        <v>13</v>
      </c>
      <c r="J2248" s="4">
        <f>SUMPRODUCT(--((A2248=$A$3:$A$2785)*$H$3:$H$2785&gt;H2248))+1</f>
        <v>44</v>
      </c>
    </row>
    <row r="2249" s="1" customFormat="true" customHeight="true" spans="1:10">
      <c r="A2249" s="4" t="str">
        <f t="shared" si="266"/>
        <v>031</v>
      </c>
      <c r="B2249" s="4" t="s">
        <v>43</v>
      </c>
      <c r="C2249" s="4" t="str">
        <f>"吴梅琳"</f>
        <v>吴梅琳</v>
      </c>
      <c r="D2249" s="4" t="str">
        <f>"2021021602"</f>
        <v>2021021602</v>
      </c>
      <c r="E2249" s="4" t="str">
        <f t="shared" si="278"/>
        <v>16</v>
      </c>
      <c r="F2249" s="4" t="str">
        <f>"02"</f>
        <v>02</v>
      </c>
      <c r="G2249" s="4" t="s">
        <v>27</v>
      </c>
      <c r="H2249" s="5">
        <v>0</v>
      </c>
      <c r="I2249" s="6" t="s">
        <v>13</v>
      </c>
      <c r="J2249" s="4">
        <f>SUMPRODUCT(--((A2249=$A$3:$A$2785)*$H$3:$H$2785&gt;H2249))+1</f>
        <v>44</v>
      </c>
    </row>
    <row r="2250" s="1" customFormat="true" customHeight="true" spans="1:10">
      <c r="A2250" s="4" t="str">
        <f t="shared" si="266"/>
        <v>031</v>
      </c>
      <c r="B2250" s="4" t="s">
        <v>43</v>
      </c>
      <c r="C2250" s="4" t="str">
        <f>"黄小川"</f>
        <v>黄小川</v>
      </c>
      <c r="D2250" s="4" t="str">
        <f>"2021021605"</f>
        <v>2021021605</v>
      </c>
      <c r="E2250" s="4" t="str">
        <f t="shared" si="278"/>
        <v>16</v>
      </c>
      <c r="F2250" s="4" t="str">
        <f>"05"</f>
        <v>05</v>
      </c>
      <c r="G2250" s="4" t="s">
        <v>27</v>
      </c>
      <c r="H2250" s="5">
        <v>0</v>
      </c>
      <c r="I2250" s="6" t="s">
        <v>13</v>
      </c>
      <c r="J2250" s="4">
        <f>SUMPRODUCT(--((A2250=$A$3:$A$2785)*$H$3:$H$2785&gt;H2250))+1</f>
        <v>44</v>
      </c>
    </row>
    <row r="2251" s="1" customFormat="true" customHeight="true" spans="1:10">
      <c r="A2251" s="4" t="str">
        <f t="shared" si="266"/>
        <v>031</v>
      </c>
      <c r="B2251" s="4" t="s">
        <v>43</v>
      </c>
      <c r="C2251" s="4" t="str">
        <f>"申兆鹏"</f>
        <v>申兆鹏</v>
      </c>
      <c r="D2251" s="4" t="str">
        <f>"2021021606"</f>
        <v>2021021606</v>
      </c>
      <c r="E2251" s="4" t="str">
        <f t="shared" si="278"/>
        <v>16</v>
      </c>
      <c r="F2251" s="4" t="str">
        <f>"06"</f>
        <v>06</v>
      </c>
      <c r="G2251" s="4" t="s">
        <v>27</v>
      </c>
      <c r="H2251" s="5">
        <v>0</v>
      </c>
      <c r="I2251" s="6" t="s">
        <v>13</v>
      </c>
      <c r="J2251" s="4">
        <f>SUMPRODUCT(--((A2251=$A$3:$A$2785)*$H$3:$H$2785&gt;H2251))+1</f>
        <v>44</v>
      </c>
    </row>
    <row r="2252" s="1" customFormat="true" customHeight="true" spans="1:10">
      <c r="A2252" s="4" t="str">
        <f t="shared" si="266"/>
        <v>031</v>
      </c>
      <c r="B2252" s="4" t="s">
        <v>43</v>
      </c>
      <c r="C2252" s="4" t="str">
        <f>"印道军"</f>
        <v>印道军</v>
      </c>
      <c r="D2252" s="4" t="str">
        <f>"2021021607"</f>
        <v>2021021607</v>
      </c>
      <c r="E2252" s="4" t="str">
        <f t="shared" si="278"/>
        <v>16</v>
      </c>
      <c r="F2252" s="4" t="str">
        <f>"07"</f>
        <v>07</v>
      </c>
      <c r="G2252" s="4" t="s">
        <v>27</v>
      </c>
      <c r="H2252" s="5">
        <v>0</v>
      </c>
      <c r="I2252" s="6" t="s">
        <v>13</v>
      </c>
      <c r="J2252" s="4">
        <f>SUMPRODUCT(--((A2252=$A$3:$A$2785)*$H$3:$H$2785&gt;H2252))+1</f>
        <v>44</v>
      </c>
    </row>
    <row r="2253" s="1" customFormat="true" customHeight="true" spans="1:10">
      <c r="A2253" s="4" t="str">
        <f t="shared" si="266"/>
        <v>031</v>
      </c>
      <c r="B2253" s="4" t="s">
        <v>43</v>
      </c>
      <c r="C2253" s="4" t="str">
        <f>"刘婉婷"</f>
        <v>刘婉婷</v>
      </c>
      <c r="D2253" s="4" t="str">
        <f>"2021021613"</f>
        <v>2021021613</v>
      </c>
      <c r="E2253" s="4" t="str">
        <f t="shared" si="278"/>
        <v>16</v>
      </c>
      <c r="F2253" s="4" t="str">
        <f>"13"</f>
        <v>13</v>
      </c>
      <c r="G2253" s="4" t="s">
        <v>27</v>
      </c>
      <c r="H2253" s="5">
        <v>0</v>
      </c>
      <c r="I2253" s="6" t="s">
        <v>13</v>
      </c>
      <c r="J2253" s="4">
        <f>SUMPRODUCT(--((A2253=$A$3:$A$2785)*$H$3:$H$2785&gt;H2253))+1</f>
        <v>44</v>
      </c>
    </row>
    <row r="2254" s="1" customFormat="true" customHeight="true" spans="1:10">
      <c r="A2254" s="4" t="str">
        <f t="shared" si="266"/>
        <v>031</v>
      </c>
      <c r="B2254" s="4" t="s">
        <v>43</v>
      </c>
      <c r="C2254" s="4" t="str">
        <f>"罗泽洲"</f>
        <v>罗泽洲</v>
      </c>
      <c r="D2254" s="4" t="str">
        <f>"2021021615"</f>
        <v>2021021615</v>
      </c>
      <c r="E2254" s="4" t="str">
        <f t="shared" si="278"/>
        <v>16</v>
      </c>
      <c r="F2254" s="4" t="str">
        <f>"15"</f>
        <v>15</v>
      </c>
      <c r="G2254" s="4" t="s">
        <v>27</v>
      </c>
      <c r="H2254" s="5">
        <v>0</v>
      </c>
      <c r="I2254" s="6" t="s">
        <v>13</v>
      </c>
      <c r="J2254" s="4">
        <f>SUMPRODUCT(--((A2254=$A$3:$A$2785)*$H$3:$H$2785&gt;H2254))+1</f>
        <v>44</v>
      </c>
    </row>
    <row r="2255" s="1" customFormat="true" customHeight="true" spans="1:10">
      <c r="A2255" s="4" t="str">
        <f t="shared" si="266"/>
        <v>031</v>
      </c>
      <c r="B2255" s="4" t="s">
        <v>43</v>
      </c>
      <c r="C2255" s="4" t="str">
        <f>"杨佐兰"</f>
        <v>杨佐兰</v>
      </c>
      <c r="D2255" s="4" t="str">
        <f>"2021021616"</f>
        <v>2021021616</v>
      </c>
      <c r="E2255" s="4" t="str">
        <f t="shared" si="278"/>
        <v>16</v>
      </c>
      <c r="F2255" s="4" t="str">
        <f>"16"</f>
        <v>16</v>
      </c>
      <c r="G2255" s="4" t="s">
        <v>27</v>
      </c>
      <c r="H2255" s="5">
        <v>0</v>
      </c>
      <c r="I2255" s="6" t="s">
        <v>13</v>
      </c>
      <c r="J2255" s="4">
        <f>SUMPRODUCT(--((A2255=$A$3:$A$2785)*$H$3:$H$2785&gt;H2255))+1</f>
        <v>44</v>
      </c>
    </row>
    <row r="2256" s="1" customFormat="true" customHeight="true" spans="1:10">
      <c r="A2256" s="4" t="str">
        <f t="shared" si="266"/>
        <v>031</v>
      </c>
      <c r="B2256" s="4" t="s">
        <v>43</v>
      </c>
      <c r="C2256" s="4" t="str">
        <f>"杨芳"</f>
        <v>杨芳</v>
      </c>
      <c r="D2256" s="4" t="str">
        <f>"2021021618"</f>
        <v>2021021618</v>
      </c>
      <c r="E2256" s="4" t="str">
        <f t="shared" si="278"/>
        <v>16</v>
      </c>
      <c r="F2256" s="4" t="str">
        <f>"18"</f>
        <v>18</v>
      </c>
      <c r="G2256" s="4" t="s">
        <v>27</v>
      </c>
      <c r="H2256" s="5">
        <v>0</v>
      </c>
      <c r="I2256" s="6" t="s">
        <v>13</v>
      </c>
      <c r="J2256" s="4">
        <f>SUMPRODUCT(--((A2256=$A$3:$A$2785)*$H$3:$H$2785&gt;H2256))+1</f>
        <v>44</v>
      </c>
    </row>
    <row r="2257" s="1" customFormat="true" customHeight="true" spans="1:10">
      <c r="A2257" s="4" t="str">
        <f t="shared" si="266"/>
        <v>031</v>
      </c>
      <c r="B2257" s="4" t="s">
        <v>43</v>
      </c>
      <c r="C2257" s="4" t="str">
        <f>"刘琳"</f>
        <v>刘琳</v>
      </c>
      <c r="D2257" s="4" t="str">
        <f>"2021021620"</f>
        <v>2021021620</v>
      </c>
      <c r="E2257" s="4" t="str">
        <f t="shared" si="278"/>
        <v>16</v>
      </c>
      <c r="F2257" s="4" t="str">
        <f>"20"</f>
        <v>20</v>
      </c>
      <c r="G2257" s="4" t="s">
        <v>27</v>
      </c>
      <c r="H2257" s="5">
        <v>0</v>
      </c>
      <c r="I2257" s="6" t="s">
        <v>13</v>
      </c>
      <c r="J2257" s="4">
        <f>SUMPRODUCT(--((A2257=$A$3:$A$2785)*$H$3:$H$2785&gt;H2257))+1</f>
        <v>44</v>
      </c>
    </row>
    <row r="2258" s="1" customFormat="true" customHeight="true" spans="1:10">
      <c r="A2258" s="4" t="str">
        <f t="shared" si="266"/>
        <v>031</v>
      </c>
      <c r="B2258" s="4" t="s">
        <v>43</v>
      </c>
      <c r="C2258" s="4" t="str">
        <f>"阳月"</f>
        <v>阳月</v>
      </c>
      <c r="D2258" s="4" t="str">
        <f>"2021021622"</f>
        <v>2021021622</v>
      </c>
      <c r="E2258" s="4" t="str">
        <f t="shared" si="278"/>
        <v>16</v>
      </c>
      <c r="F2258" s="4" t="str">
        <f>"22"</f>
        <v>22</v>
      </c>
      <c r="G2258" s="4" t="s">
        <v>27</v>
      </c>
      <c r="H2258" s="5">
        <v>0</v>
      </c>
      <c r="I2258" s="6" t="s">
        <v>13</v>
      </c>
      <c r="J2258" s="4">
        <f>SUMPRODUCT(--((A2258=$A$3:$A$2785)*$H$3:$H$2785&gt;H2258))+1</f>
        <v>44</v>
      </c>
    </row>
    <row r="2259" s="1" customFormat="true" customHeight="true" spans="1:10">
      <c r="A2259" s="4" t="str">
        <f t="shared" si="266"/>
        <v>031</v>
      </c>
      <c r="B2259" s="4" t="s">
        <v>43</v>
      </c>
      <c r="C2259" s="4" t="str">
        <f>"田乙钦"</f>
        <v>田乙钦</v>
      </c>
      <c r="D2259" s="4" t="str">
        <f>"2021021623"</f>
        <v>2021021623</v>
      </c>
      <c r="E2259" s="4" t="str">
        <f t="shared" si="278"/>
        <v>16</v>
      </c>
      <c r="F2259" s="4" t="str">
        <f>"23"</f>
        <v>23</v>
      </c>
      <c r="G2259" s="4" t="s">
        <v>27</v>
      </c>
      <c r="H2259" s="5">
        <v>0</v>
      </c>
      <c r="I2259" s="6" t="s">
        <v>13</v>
      </c>
      <c r="J2259" s="4">
        <f>SUMPRODUCT(--((A2259=$A$3:$A$2785)*$H$3:$H$2785&gt;H2259))+1</f>
        <v>44</v>
      </c>
    </row>
    <row r="2260" s="1" customFormat="true" customHeight="true" spans="1:10">
      <c r="A2260" s="4" t="str">
        <f t="shared" si="266"/>
        <v>031</v>
      </c>
      <c r="B2260" s="4" t="s">
        <v>43</v>
      </c>
      <c r="C2260" s="4" t="str">
        <f>"石燕飞"</f>
        <v>石燕飞</v>
      </c>
      <c r="D2260" s="4" t="str">
        <f>"2021021624"</f>
        <v>2021021624</v>
      </c>
      <c r="E2260" s="4" t="str">
        <f t="shared" si="278"/>
        <v>16</v>
      </c>
      <c r="F2260" s="4" t="str">
        <f>"24"</f>
        <v>24</v>
      </c>
      <c r="G2260" s="4" t="s">
        <v>27</v>
      </c>
      <c r="H2260" s="5">
        <v>0</v>
      </c>
      <c r="I2260" s="6" t="s">
        <v>13</v>
      </c>
      <c r="J2260" s="4">
        <f>SUMPRODUCT(--((A2260=$A$3:$A$2785)*$H$3:$H$2785&gt;H2260))+1</f>
        <v>44</v>
      </c>
    </row>
    <row r="2261" s="1" customFormat="true" customHeight="true" spans="1:10">
      <c r="A2261" s="4" t="str">
        <f t="shared" si="266"/>
        <v>031</v>
      </c>
      <c r="B2261" s="4" t="s">
        <v>43</v>
      </c>
      <c r="C2261" s="4" t="str">
        <f>"明子涵"</f>
        <v>明子涵</v>
      </c>
      <c r="D2261" s="4" t="str">
        <f>"2021021625"</f>
        <v>2021021625</v>
      </c>
      <c r="E2261" s="4" t="str">
        <f t="shared" si="278"/>
        <v>16</v>
      </c>
      <c r="F2261" s="4" t="str">
        <f>"25"</f>
        <v>25</v>
      </c>
      <c r="G2261" s="4" t="s">
        <v>27</v>
      </c>
      <c r="H2261" s="5">
        <v>0</v>
      </c>
      <c r="I2261" s="6" t="s">
        <v>13</v>
      </c>
      <c r="J2261" s="4">
        <f>SUMPRODUCT(--((A2261=$A$3:$A$2785)*$H$3:$H$2785&gt;H2261))+1</f>
        <v>44</v>
      </c>
    </row>
    <row r="2262" s="1" customFormat="true" customHeight="true" spans="1:10">
      <c r="A2262" s="4" t="str">
        <f t="shared" ref="A2262:A2286" si="279">"031"</f>
        <v>031</v>
      </c>
      <c r="B2262" s="4" t="s">
        <v>43</v>
      </c>
      <c r="C2262" s="4" t="str">
        <f>"唐榕"</f>
        <v>唐榕</v>
      </c>
      <c r="D2262" s="4" t="str">
        <f>"2021021626"</f>
        <v>2021021626</v>
      </c>
      <c r="E2262" s="4" t="str">
        <f t="shared" si="278"/>
        <v>16</v>
      </c>
      <c r="F2262" s="4" t="str">
        <f>"26"</f>
        <v>26</v>
      </c>
      <c r="G2262" s="4" t="s">
        <v>27</v>
      </c>
      <c r="H2262" s="5">
        <v>0</v>
      </c>
      <c r="I2262" s="6" t="s">
        <v>13</v>
      </c>
      <c r="J2262" s="4">
        <f>SUMPRODUCT(--((A2262=$A$3:$A$2785)*$H$3:$H$2785&gt;H2262))+1</f>
        <v>44</v>
      </c>
    </row>
    <row r="2263" s="1" customFormat="true" customHeight="true" spans="1:10">
      <c r="A2263" s="4" t="str">
        <f t="shared" si="279"/>
        <v>031</v>
      </c>
      <c r="B2263" s="4" t="s">
        <v>43</v>
      </c>
      <c r="C2263" s="4" t="str">
        <f>"陈杨惠"</f>
        <v>陈杨惠</v>
      </c>
      <c r="D2263" s="4" t="str">
        <f>"2021021628"</f>
        <v>2021021628</v>
      </c>
      <c r="E2263" s="4" t="str">
        <f t="shared" si="278"/>
        <v>16</v>
      </c>
      <c r="F2263" s="4" t="str">
        <f>"28"</f>
        <v>28</v>
      </c>
      <c r="G2263" s="4" t="s">
        <v>27</v>
      </c>
      <c r="H2263" s="5">
        <v>0</v>
      </c>
      <c r="I2263" s="6" t="s">
        <v>13</v>
      </c>
      <c r="J2263" s="4">
        <f>SUMPRODUCT(--((A2263=$A$3:$A$2785)*$H$3:$H$2785&gt;H2263))+1</f>
        <v>44</v>
      </c>
    </row>
    <row r="2264" s="1" customFormat="true" customHeight="true" spans="1:10">
      <c r="A2264" s="4" t="str">
        <f t="shared" si="279"/>
        <v>031</v>
      </c>
      <c r="B2264" s="4" t="s">
        <v>43</v>
      </c>
      <c r="C2264" s="4" t="str">
        <f>"石情"</f>
        <v>石情</v>
      </c>
      <c r="D2264" s="4" t="str">
        <f>"2021021629"</f>
        <v>2021021629</v>
      </c>
      <c r="E2264" s="4" t="str">
        <f t="shared" si="278"/>
        <v>16</v>
      </c>
      <c r="F2264" s="4" t="str">
        <f>"29"</f>
        <v>29</v>
      </c>
      <c r="G2264" s="4" t="s">
        <v>27</v>
      </c>
      <c r="H2264" s="5">
        <v>0</v>
      </c>
      <c r="I2264" s="6" t="s">
        <v>13</v>
      </c>
      <c r="J2264" s="4">
        <f>SUMPRODUCT(--((A2264=$A$3:$A$2785)*$H$3:$H$2785&gt;H2264))+1</f>
        <v>44</v>
      </c>
    </row>
    <row r="2265" s="1" customFormat="true" customHeight="true" spans="1:10">
      <c r="A2265" s="4" t="str">
        <f t="shared" si="279"/>
        <v>031</v>
      </c>
      <c r="B2265" s="4" t="s">
        <v>43</v>
      </c>
      <c r="C2265" s="4" t="str">
        <f>"张海霞"</f>
        <v>张海霞</v>
      </c>
      <c r="D2265" s="4" t="str">
        <f>"2021021630"</f>
        <v>2021021630</v>
      </c>
      <c r="E2265" s="4" t="str">
        <f t="shared" si="278"/>
        <v>16</v>
      </c>
      <c r="F2265" s="4" t="str">
        <f>"30"</f>
        <v>30</v>
      </c>
      <c r="G2265" s="4" t="s">
        <v>27</v>
      </c>
      <c r="H2265" s="5">
        <v>0</v>
      </c>
      <c r="I2265" s="6" t="s">
        <v>13</v>
      </c>
      <c r="J2265" s="4">
        <f>SUMPRODUCT(--((A2265=$A$3:$A$2785)*$H$3:$H$2785&gt;H2265))+1</f>
        <v>44</v>
      </c>
    </row>
    <row r="2266" s="1" customFormat="true" customHeight="true" spans="1:10">
      <c r="A2266" s="4" t="str">
        <f t="shared" si="279"/>
        <v>031</v>
      </c>
      <c r="B2266" s="4" t="s">
        <v>43</v>
      </c>
      <c r="C2266" s="4" t="str">
        <f>"莫婷"</f>
        <v>莫婷</v>
      </c>
      <c r="D2266" s="4" t="str">
        <f>"2021021701"</f>
        <v>2021021701</v>
      </c>
      <c r="E2266" s="4" t="str">
        <f t="shared" ref="E2266:E2279" si="280">"17"</f>
        <v>17</v>
      </c>
      <c r="F2266" s="4" t="str">
        <f>"01"</f>
        <v>01</v>
      </c>
      <c r="G2266" s="4" t="s">
        <v>27</v>
      </c>
      <c r="H2266" s="5">
        <v>0</v>
      </c>
      <c r="I2266" s="6" t="s">
        <v>13</v>
      </c>
      <c r="J2266" s="4">
        <f>SUMPRODUCT(--((A2266=$A$3:$A$2785)*$H$3:$H$2785&gt;H2266))+1</f>
        <v>44</v>
      </c>
    </row>
    <row r="2267" s="1" customFormat="true" customHeight="true" spans="1:10">
      <c r="A2267" s="4" t="str">
        <f t="shared" si="279"/>
        <v>031</v>
      </c>
      <c r="B2267" s="4" t="s">
        <v>43</v>
      </c>
      <c r="C2267" s="4" t="str">
        <f>"刘双双"</f>
        <v>刘双双</v>
      </c>
      <c r="D2267" s="4" t="str">
        <f>"2021021702"</f>
        <v>2021021702</v>
      </c>
      <c r="E2267" s="4" t="str">
        <f t="shared" si="280"/>
        <v>17</v>
      </c>
      <c r="F2267" s="4" t="str">
        <f>"02"</f>
        <v>02</v>
      </c>
      <c r="G2267" s="4" t="s">
        <v>27</v>
      </c>
      <c r="H2267" s="5">
        <v>0</v>
      </c>
      <c r="I2267" s="6" t="s">
        <v>13</v>
      </c>
      <c r="J2267" s="4">
        <f>SUMPRODUCT(--((A2267=$A$3:$A$2785)*$H$3:$H$2785&gt;H2267))+1</f>
        <v>44</v>
      </c>
    </row>
    <row r="2268" s="1" customFormat="true" customHeight="true" spans="1:10">
      <c r="A2268" s="4" t="str">
        <f t="shared" si="279"/>
        <v>031</v>
      </c>
      <c r="B2268" s="4" t="s">
        <v>43</v>
      </c>
      <c r="C2268" s="4" t="str">
        <f>"谭晶"</f>
        <v>谭晶</v>
      </c>
      <c r="D2268" s="4" t="str">
        <f>"2021021703"</f>
        <v>2021021703</v>
      </c>
      <c r="E2268" s="4" t="str">
        <f t="shared" si="280"/>
        <v>17</v>
      </c>
      <c r="F2268" s="4" t="str">
        <f>"03"</f>
        <v>03</v>
      </c>
      <c r="G2268" s="4" t="s">
        <v>27</v>
      </c>
      <c r="H2268" s="5">
        <v>0</v>
      </c>
      <c r="I2268" s="6" t="s">
        <v>13</v>
      </c>
      <c r="J2268" s="4">
        <f>SUMPRODUCT(--((A2268=$A$3:$A$2785)*$H$3:$H$2785&gt;H2268))+1</f>
        <v>44</v>
      </c>
    </row>
    <row r="2269" s="1" customFormat="true" customHeight="true" spans="1:10">
      <c r="A2269" s="4" t="str">
        <f t="shared" si="279"/>
        <v>031</v>
      </c>
      <c r="B2269" s="4" t="s">
        <v>43</v>
      </c>
      <c r="C2269" s="4" t="str">
        <f>"杨瑜懿"</f>
        <v>杨瑜懿</v>
      </c>
      <c r="D2269" s="4" t="str">
        <f>"2021021704"</f>
        <v>2021021704</v>
      </c>
      <c r="E2269" s="4" t="str">
        <f t="shared" si="280"/>
        <v>17</v>
      </c>
      <c r="F2269" s="4" t="str">
        <f>"04"</f>
        <v>04</v>
      </c>
      <c r="G2269" s="4" t="s">
        <v>27</v>
      </c>
      <c r="H2269" s="5">
        <v>0</v>
      </c>
      <c r="I2269" s="6" t="s">
        <v>13</v>
      </c>
      <c r="J2269" s="4">
        <f>SUMPRODUCT(--((A2269=$A$3:$A$2785)*$H$3:$H$2785&gt;H2269))+1</f>
        <v>44</v>
      </c>
    </row>
    <row r="2270" s="1" customFormat="true" customHeight="true" spans="1:10">
      <c r="A2270" s="4" t="str">
        <f t="shared" si="279"/>
        <v>031</v>
      </c>
      <c r="B2270" s="4" t="s">
        <v>43</v>
      </c>
      <c r="C2270" s="4" t="str">
        <f>"刘艳"</f>
        <v>刘艳</v>
      </c>
      <c r="D2270" s="4" t="str">
        <f>"2021021708"</f>
        <v>2021021708</v>
      </c>
      <c r="E2270" s="4" t="str">
        <f t="shared" si="280"/>
        <v>17</v>
      </c>
      <c r="F2270" s="4" t="str">
        <f>"08"</f>
        <v>08</v>
      </c>
      <c r="G2270" s="4" t="s">
        <v>27</v>
      </c>
      <c r="H2270" s="5">
        <v>0</v>
      </c>
      <c r="I2270" s="6" t="s">
        <v>13</v>
      </c>
      <c r="J2270" s="4">
        <f>SUMPRODUCT(--((A2270=$A$3:$A$2785)*$H$3:$H$2785&gt;H2270))+1</f>
        <v>44</v>
      </c>
    </row>
    <row r="2271" s="1" customFormat="true" customHeight="true" spans="1:10">
      <c r="A2271" s="4" t="str">
        <f t="shared" si="279"/>
        <v>031</v>
      </c>
      <c r="B2271" s="4" t="s">
        <v>43</v>
      </c>
      <c r="C2271" s="4" t="str">
        <f>"吴华桢"</f>
        <v>吴华桢</v>
      </c>
      <c r="D2271" s="4" t="str">
        <f>"2021021709"</f>
        <v>2021021709</v>
      </c>
      <c r="E2271" s="4" t="str">
        <f t="shared" si="280"/>
        <v>17</v>
      </c>
      <c r="F2271" s="4" t="str">
        <f>"09"</f>
        <v>09</v>
      </c>
      <c r="G2271" s="4" t="s">
        <v>27</v>
      </c>
      <c r="H2271" s="5">
        <v>0</v>
      </c>
      <c r="I2271" s="6" t="s">
        <v>13</v>
      </c>
      <c r="J2271" s="4">
        <f>SUMPRODUCT(--((A2271=$A$3:$A$2785)*$H$3:$H$2785&gt;H2271))+1</f>
        <v>44</v>
      </c>
    </row>
    <row r="2272" s="1" customFormat="true" customHeight="true" spans="1:10">
      <c r="A2272" s="4" t="str">
        <f t="shared" si="279"/>
        <v>031</v>
      </c>
      <c r="B2272" s="4" t="s">
        <v>43</v>
      </c>
      <c r="C2272" s="4" t="str">
        <f>"郭艺"</f>
        <v>郭艺</v>
      </c>
      <c r="D2272" s="4" t="str">
        <f>"2021021710"</f>
        <v>2021021710</v>
      </c>
      <c r="E2272" s="4" t="str">
        <f t="shared" si="280"/>
        <v>17</v>
      </c>
      <c r="F2272" s="4" t="str">
        <f>"10"</f>
        <v>10</v>
      </c>
      <c r="G2272" s="4" t="s">
        <v>27</v>
      </c>
      <c r="H2272" s="5">
        <v>0</v>
      </c>
      <c r="I2272" s="6" t="s">
        <v>13</v>
      </c>
      <c r="J2272" s="4">
        <f>SUMPRODUCT(--((A2272=$A$3:$A$2785)*$H$3:$H$2785&gt;H2272))+1</f>
        <v>44</v>
      </c>
    </row>
    <row r="2273" s="1" customFormat="true" customHeight="true" spans="1:10">
      <c r="A2273" s="4" t="str">
        <f t="shared" si="279"/>
        <v>031</v>
      </c>
      <c r="B2273" s="4" t="s">
        <v>43</v>
      </c>
      <c r="C2273" s="4" t="str">
        <f>"杨燚"</f>
        <v>杨燚</v>
      </c>
      <c r="D2273" s="4" t="str">
        <f>"2021021717"</f>
        <v>2021021717</v>
      </c>
      <c r="E2273" s="4" t="str">
        <f t="shared" si="280"/>
        <v>17</v>
      </c>
      <c r="F2273" s="4" t="str">
        <f>"17"</f>
        <v>17</v>
      </c>
      <c r="G2273" s="4" t="s">
        <v>27</v>
      </c>
      <c r="H2273" s="5">
        <v>0</v>
      </c>
      <c r="I2273" s="6" t="s">
        <v>13</v>
      </c>
      <c r="J2273" s="4">
        <f>SUMPRODUCT(--((A2273=$A$3:$A$2785)*$H$3:$H$2785&gt;H2273))+1</f>
        <v>44</v>
      </c>
    </row>
    <row r="2274" s="1" customFormat="true" customHeight="true" spans="1:10">
      <c r="A2274" s="4" t="str">
        <f t="shared" si="279"/>
        <v>031</v>
      </c>
      <c r="B2274" s="4" t="s">
        <v>43</v>
      </c>
      <c r="C2274" s="4" t="str">
        <f>"张义"</f>
        <v>张义</v>
      </c>
      <c r="D2274" s="4" t="str">
        <f>"2021021720"</f>
        <v>2021021720</v>
      </c>
      <c r="E2274" s="4" t="str">
        <f t="shared" si="280"/>
        <v>17</v>
      </c>
      <c r="F2274" s="4" t="str">
        <f>"20"</f>
        <v>20</v>
      </c>
      <c r="G2274" s="4" t="s">
        <v>27</v>
      </c>
      <c r="H2274" s="5">
        <v>0</v>
      </c>
      <c r="I2274" s="6" t="s">
        <v>13</v>
      </c>
      <c r="J2274" s="4">
        <f>SUMPRODUCT(--((A2274=$A$3:$A$2785)*$H$3:$H$2785&gt;H2274))+1</f>
        <v>44</v>
      </c>
    </row>
    <row r="2275" s="1" customFormat="true" customHeight="true" spans="1:10">
      <c r="A2275" s="4" t="str">
        <f t="shared" si="279"/>
        <v>031</v>
      </c>
      <c r="B2275" s="4" t="s">
        <v>43</v>
      </c>
      <c r="C2275" s="4" t="str">
        <f>"张静芳"</f>
        <v>张静芳</v>
      </c>
      <c r="D2275" s="4" t="str">
        <f>"2021021722"</f>
        <v>2021021722</v>
      </c>
      <c r="E2275" s="4" t="str">
        <f t="shared" si="280"/>
        <v>17</v>
      </c>
      <c r="F2275" s="4" t="str">
        <f>"22"</f>
        <v>22</v>
      </c>
      <c r="G2275" s="4" t="s">
        <v>27</v>
      </c>
      <c r="H2275" s="5">
        <v>0</v>
      </c>
      <c r="I2275" s="6" t="s">
        <v>13</v>
      </c>
      <c r="J2275" s="4">
        <f>SUMPRODUCT(--((A2275=$A$3:$A$2785)*$H$3:$H$2785&gt;H2275))+1</f>
        <v>44</v>
      </c>
    </row>
    <row r="2276" s="1" customFormat="true" customHeight="true" spans="1:10">
      <c r="A2276" s="4" t="str">
        <f t="shared" si="279"/>
        <v>031</v>
      </c>
      <c r="B2276" s="4" t="s">
        <v>43</v>
      </c>
      <c r="C2276" s="4" t="str">
        <f>"奉霞"</f>
        <v>奉霞</v>
      </c>
      <c r="D2276" s="4" t="str">
        <f>"2021021723"</f>
        <v>2021021723</v>
      </c>
      <c r="E2276" s="4" t="str">
        <f t="shared" si="280"/>
        <v>17</v>
      </c>
      <c r="F2276" s="4" t="str">
        <f>"23"</f>
        <v>23</v>
      </c>
      <c r="G2276" s="4" t="s">
        <v>27</v>
      </c>
      <c r="H2276" s="5">
        <v>0</v>
      </c>
      <c r="I2276" s="6" t="s">
        <v>13</v>
      </c>
      <c r="J2276" s="4">
        <f>SUMPRODUCT(--((A2276=$A$3:$A$2785)*$H$3:$H$2785&gt;H2276))+1</f>
        <v>44</v>
      </c>
    </row>
    <row r="2277" s="1" customFormat="true" customHeight="true" spans="1:10">
      <c r="A2277" s="4" t="str">
        <f t="shared" si="279"/>
        <v>031</v>
      </c>
      <c r="B2277" s="4" t="s">
        <v>43</v>
      </c>
      <c r="C2277" s="4" t="str">
        <f>"邓芳燕"</f>
        <v>邓芳燕</v>
      </c>
      <c r="D2277" s="4" t="str">
        <f>"2021021724"</f>
        <v>2021021724</v>
      </c>
      <c r="E2277" s="4" t="str">
        <f t="shared" si="280"/>
        <v>17</v>
      </c>
      <c r="F2277" s="4" t="str">
        <f>"24"</f>
        <v>24</v>
      </c>
      <c r="G2277" s="4" t="s">
        <v>27</v>
      </c>
      <c r="H2277" s="5">
        <v>0</v>
      </c>
      <c r="I2277" s="6" t="s">
        <v>13</v>
      </c>
      <c r="J2277" s="4">
        <f>SUMPRODUCT(--((A2277=$A$3:$A$2785)*$H$3:$H$2785&gt;H2277))+1</f>
        <v>44</v>
      </c>
    </row>
    <row r="2278" s="1" customFormat="true" customHeight="true" spans="1:10">
      <c r="A2278" s="4" t="str">
        <f t="shared" si="279"/>
        <v>031</v>
      </c>
      <c r="B2278" s="4" t="s">
        <v>43</v>
      </c>
      <c r="C2278" s="4" t="str">
        <f>"杨红"</f>
        <v>杨红</v>
      </c>
      <c r="D2278" s="4" t="str">
        <f>"2021021726"</f>
        <v>2021021726</v>
      </c>
      <c r="E2278" s="4" t="str">
        <f t="shared" si="280"/>
        <v>17</v>
      </c>
      <c r="F2278" s="4" t="str">
        <f>"26"</f>
        <v>26</v>
      </c>
      <c r="G2278" s="4" t="s">
        <v>27</v>
      </c>
      <c r="H2278" s="5">
        <v>0</v>
      </c>
      <c r="I2278" s="6" t="s">
        <v>13</v>
      </c>
      <c r="J2278" s="4">
        <f>SUMPRODUCT(--((A2278=$A$3:$A$2785)*$H$3:$H$2785&gt;H2278))+1</f>
        <v>44</v>
      </c>
    </row>
    <row r="2279" s="1" customFormat="true" customHeight="true" spans="1:10">
      <c r="A2279" s="4" t="str">
        <f t="shared" si="279"/>
        <v>031</v>
      </c>
      <c r="B2279" s="4" t="s">
        <v>43</v>
      </c>
      <c r="C2279" s="4" t="str">
        <f>"杨婉婷"</f>
        <v>杨婉婷</v>
      </c>
      <c r="D2279" s="4" t="str">
        <f>"2021021730"</f>
        <v>2021021730</v>
      </c>
      <c r="E2279" s="4" t="str">
        <f t="shared" si="280"/>
        <v>17</v>
      </c>
      <c r="F2279" s="4" t="str">
        <f>"30"</f>
        <v>30</v>
      </c>
      <c r="G2279" s="4" t="s">
        <v>27</v>
      </c>
      <c r="H2279" s="5">
        <v>0</v>
      </c>
      <c r="I2279" s="6" t="s">
        <v>13</v>
      </c>
      <c r="J2279" s="4">
        <f>SUMPRODUCT(--((A2279=$A$3:$A$2785)*$H$3:$H$2785&gt;H2279))+1</f>
        <v>44</v>
      </c>
    </row>
    <row r="2280" s="1" customFormat="true" customHeight="true" spans="1:10">
      <c r="A2280" s="4" t="str">
        <f t="shared" si="279"/>
        <v>031</v>
      </c>
      <c r="B2280" s="4" t="s">
        <v>43</v>
      </c>
      <c r="C2280" s="4" t="str">
        <f>"王芙"</f>
        <v>王芙</v>
      </c>
      <c r="D2280" s="4" t="str">
        <f>"2021021801"</f>
        <v>2021021801</v>
      </c>
      <c r="E2280" s="4" t="str">
        <f t="shared" ref="E2280:E2286" si="281">"18"</f>
        <v>18</v>
      </c>
      <c r="F2280" s="4" t="str">
        <f>"01"</f>
        <v>01</v>
      </c>
      <c r="G2280" s="4" t="s">
        <v>27</v>
      </c>
      <c r="H2280" s="5">
        <v>0</v>
      </c>
      <c r="I2280" s="6" t="s">
        <v>13</v>
      </c>
      <c r="J2280" s="4">
        <f>SUMPRODUCT(--((A2280=$A$3:$A$2785)*$H$3:$H$2785&gt;H2280))+1</f>
        <v>44</v>
      </c>
    </row>
    <row r="2281" s="1" customFormat="true" customHeight="true" spans="1:10">
      <c r="A2281" s="4" t="str">
        <f t="shared" si="279"/>
        <v>031</v>
      </c>
      <c r="B2281" s="4" t="s">
        <v>43</v>
      </c>
      <c r="C2281" s="4" t="str">
        <f>"刘乐林"</f>
        <v>刘乐林</v>
      </c>
      <c r="D2281" s="4" t="str">
        <f>"2021021803"</f>
        <v>2021021803</v>
      </c>
      <c r="E2281" s="4" t="str">
        <f t="shared" si="281"/>
        <v>18</v>
      </c>
      <c r="F2281" s="4" t="str">
        <f>"03"</f>
        <v>03</v>
      </c>
      <c r="G2281" s="4" t="s">
        <v>27</v>
      </c>
      <c r="H2281" s="5">
        <v>0</v>
      </c>
      <c r="I2281" s="6" t="s">
        <v>13</v>
      </c>
      <c r="J2281" s="4">
        <f>SUMPRODUCT(--((A2281=$A$3:$A$2785)*$H$3:$H$2785&gt;H2281))+1</f>
        <v>44</v>
      </c>
    </row>
    <row r="2282" s="1" customFormat="true" customHeight="true" spans="1:10">
      <c r="A2282" s="4" t="str">
        <f t="shared" si="279"/>
        <v>031</v>
      </c>
      <c r="B2282" s="4" t="s">
        <v>43</v>
      </c>
      <c r="C2282" s="4" t="str">
        <f>"沈欣怡"</f>
        <v>沈欣怡</v>
      </c>
      <c r="D2282" s="4" t="str">
        <f>"2021021805"</f>
        <v>2021021805</v>
      </c>
      <c r="E2282" s="4" t="str">
        <f t="shared" si="281"/>
        <v>18</v>
      </c>
      <c r="F2282" s="4" t="str">
        <f>"05"</f>
        <v>05</v>
      </c>
      <c r="G2282" s="4" t="s">
        <v>27</v>
      </c>
      <c r="H2282" s="5">
        <v>0</v>
      </c>
      <c r="I2282" s="6" t="s">
        <v>13</v>
      </c>
      <c r="J2282" s="4">
        <f>SUMPRODUCT(--((A2282=$A$3:$A$2785)*$H$3:$H$2785&gt;H2282))+1</f>
        <v>44</v>
      </c>
    </row>
    <row r="2283" s="1" customFormat="true" customHeight="true" spans="1:10">
      <c r="A2283" s="4" t="str">
        <f t="shared" si="279"/>
        <v>031</v>
      </c>
      <c r="B2283" s="4" t="s">
        <v>43</v>
      </c>
      <c r="C2283" s="4" t="str">
        <f>"谢昱"</f>
        <v>谢昱</v>
      </c>
      <c r="D2283" s="4" t="str">
        <f>"2021021807"</f>
        <v>2021021807</v>
      </c>
      <c r="E2283" s="4" t="str">
        <f t="shared" si="281"/>
        <v>18</v>
      </c>
      <c r="F2283" s="4" t="str">
        <f>"07"</f>
        <v>07</v>
      </c>
      <c r="G2283" s="4" t="s">
        <v>27</v>
      </c>
      <c r="H2283" s="5">
        <v>0</v>
      </c>
      <c r="I2283" s="6" t="s">
        <v>13</v>
      </c>
      <c r="J2283" s="4">
        <f>SUMPRODUCT(--((A2283=$A$3:$A$2785)*$H$3:$H$2785&gt;H2283))+1</f>
        <v>44</v>
      </c>
    </row>
    <row r="2284" s="1" customFormat="true" customHeight="true" spans="1:10">
      <c r="A2284" s="4" t="str">
        <f t="shared" si="279"/>
        <v>031</v>
      </c>
      <c r="B2284" s="4" t="s">
        <v>43</v>
      </c>
      <c r="C2284" s="4" t="str">
        <f>"肖璐莎"</f>
        <v>肖璐莎</v>
      </c>
      <c r="D2284" s="4" t="str">
        <f>"2021021808"</f>
        <v>2021021808</v>
      </c>
      <c r="E2284" s="4" t="str">
        <f t="shared" si="281"/>
        <v>18</v>
      </c>
      <c r="F2284" s="4" t="str">
        <f>"08"</f>
        <v>08</v>
      </c>
      <c r="G2284" s="4" t="s">
        <v>27</v>
      </c>
      <c r="H2284" s="5">
        <v>0</v>
      </c>
      <c r="I2284" s="6" t="s">
        <v>13</v>
      </c>
      <c r="J2284" s="4">
        <f>SUMPRODUCT(--((A2284=$A$3:$A$2785)*$H$3:$H$2785&gt;H2284))+1</f>
        <v>44</v>
      </c>
    </row>
    <row r="2285" s="1" customFormat="true" customHeight="true" spans="1:10">
      <c r="A2285" s="4" t="str">
        <f t="shared" si="279"/>
        <v>031</v>
      </c>
      <c r="B2285" s="4" t="s">
        <v>43</v>
      </c>
      <c r="C2285" s="4" t="str">
        <f>"杨子青"</f>
        <v>杨子青</v>
      </c>
      <c r="D2285" s="4" t="str">
        <f>"2021021813"</f>
        <v>2021021813</v>
      </c>
      <c r="E2285" s="4" t="str">
        <f t="shared" si="281"/>
        <v>18</v>
      </c>
      <c r="F2285" s="4" t="str">
        <f>"13"</f>
        <v>13</v>
      </c>
      <c r="G2285" s="4" t="s">
        <v>27</v>
      </c>
      <c r="H2285" s="5">
        <v>0</v>
      </c>
      <c r="I2285" s="6" t="s">
        <v>13</v>
      </c>
      <c r="J2285" s="4">
        <f>SUMPRODUCT(--((A2285=$A$3:$A$2785)*$H$3:$H$2785&gt;H2285))+1</f>
        <v>44</v>
      </c>
    </row>
    <row r="2286" s="1" customFormat="true" customHeight="true" spans="1:10">
      <c r="A2286" s="4" t="str">
        <f t="shared" si="279"/>
        <v>031</v>
      </c>
      <c r="B2286" s="4" t="s">
        <v>43</v>
      </c>
      <c r="C2286" s="4" t="str">
        <f>"何颖琦"</f>
        <v>何颖琦</v>
      </c>
      <c r="D2286" s="4" t="str">
        <f>"2021021819"</f>
        <v>2021021819</v>
      </c>
      <c r="E2286" s="4" t="str">
        <f t="shared" si="281"/>
        <v>18</v>
      </c>
      <c r="F2286" s="4" t="str">
        <f>"19"</f>
        <v>19</v>
      </c>
      <c r="G2286" s="4" t="s">
        <v>27</v>
      </c>
      <c r="H2286" s="5">
        <v>0</v>
      </c>
      <c r="I2286" s="6" t="s">
        <v>13</v>
      </c>
      <c r="J2286" s="4">
        <f>SUMPRODUCT(--((A2286=$A$3:$A$2785)*$H$3:$H$2785&gt;H2286))+1</f>
        <v>44</v>
      </c>
    </row>
    <row r="2287" s="1" customFormat="true" customHeight="true" spans="1:10">
      <c r="A2287" s="4" t="str">
        <f t="shared" ref="A2287:A2304" si="282">"032"</f>
        <v>032</v>
      </c>
      <c r="B2287" s="4" t="s">
        <v>44</v>
      </c>
      <c r="C2287" s="4" t="str">
        <f>"向旭敏"</f>
        <v>向旭敏</v>
      </c>
      <c r="D2287" s="4" t="str">
        <f>"2021021925"</f>
        <v>2021021925</v>
      </c>
      <c r="E2287" s="4" t="str">
        <f t="shared" ref="E2287:E2304" si="283">"19"</f>
        <v>19</v>
      </c>
      <c r="F2287" s="4" t="str">
        <f>"25"</f>
        <v>25</v>
      </c>
      <c r="G2287" s="4" t="s">
        <v>27</v>
      </c>
      <c r="H2287" s="5">
        <v>78.2</v>
      </c>
      <c r="I2287" s="4"/>
      <c r="J2287" s="4">
        <f>SUMPRODUCT(--((A2287=$A$3:$A$2785)*$H$3:$H$2785&gt;H2287))+1</f>
        <v>1</v>
      </c>
    </row>
    <row r="2288" s="1" customFormat="true" customHeight="true" spans="1:10">
      <c r="A2288" s="4" t="str">
        <f t="shared" si="282"/>
        <v>032</v>
      </c>
      <c r="B2288" s="4" t="s">
        <v>44</v>
      </c>
      <c r="C2288" s="4" t="str">
        <f>"全丽雯"</f>
        <v>全丽雯</v>
      </c>
      <c r="D2288" s="4" t="str">
        <f>"2021021918"</f>
        <v>2021021918</v>
      </c>
      <c r="E2288" s="4" t="str">
        <f t="shared" si="283"/>
        <v>19</v>
      </c>
      <c r="F2288" s="4" t="str">
        <f>"18"</f>
        <v>18</v>
      </c>
      <c r="G2288" s="4" t="s">
        <v>27</v>
      </c>
      <c r="H2288" s="5">
        <v>77</v>
      </c>
      <c r="I2288" s="4"/>
      <c r="J2288" s="4">
        <f>SUMPRODUCT(--((A2288=$A$3:$A$2785)*$H$3:$H$2785&gt;H2288))+1</f>
        <v>2</v>
      </c>
    </row>
    <row r="2289" s="1" customFormat="true" customHeight="true" spans="1:10">
      <c r="A2289" s="4" t="str">
        <f t="shared" si="282"/>
        <v>032</v>
      </c>
      <c r="B2289" s="4" t="s">
        <v>44</v>
      </c>
      <c r="C2289" s="4" t="str">
        <f>"廖芳利"</f>
        <v>廖芳利</v>
      </c>
      <c r="D2289" s="4" t="str">
        <f>"2021021920"</f>
        <v>2021021920</v>
      </c>
      <c r="E2289" s="4" t="str">
        <f t="shared" si="283"/>
        <v>19</v>
      </c>
      <c r="F2289" s="4" t="str">
        <f>"20"</f>
        <v>20</v>
      </c>
      <c r="G2289" s="4" t="s">
        <v>27</v>
      </c>
      <c r="H2289" s="5">
        <v>76.55</v>
      </c>
      <c r="I2289" s="4"/>
      <c r="J2289" s="4">
        <f>SUMPRODUCT(--((A2289=$A$3:$A$2785)*$H$3:$H$2785&gt;H2289))+1</f>
        <v>3</v>
      </c>
    </row>
    <row r="2290" s="1" customFormat="true" customHeight="true" spans="1:10">
      <c r="A2290" s="4" t="str">
        <f t="shared" si="282"/>
        <v>032</v>
      </c>
      <c r="B2290" s="4" t="s">
        <v>44</v>
      </c>
      <c r="C2290" s="4" t="str">
        <f>"夏璟"</f>
        <v>夏璟</v>
      </c>
      <c r="D2290" s="4" t="str">
        <f>"2021021927"</f>
        <v>2021021927</v>
      </c>
      <c r="E2290" s="4" t="str">
        <f t="shared" si="283"/>
        <v>19</v>
      </c>
      <c r="F2290" s="4" t="str">
        <f>"27"</f>
        <v>27</v>
      </c>
      <c r="G2290" s="4" t="s">
        <v>27</v>
      </c>
      <c r="H2290" s="5">
        <v>68.75</v>
      </c>
      <c r="I2290" s="4"/>
      <c r="J2290" s="4">
        <f>SUMPRODUCT(--((A2290=$A$3:$A$2785)*$H$3:$H$2785&gt;H2290))+1</f>
        <v>4</v>
      </c>
    </row>
    <row r="2291" s="1" customFormat="true" customHeight="true" spans="1:10">
      <c r="A2291" s="4" t="str">
        <f t="shared" si="282"/>
        <v>032</v>
      </c>
      <c r="B2291" s="4" t="s">
        <v>44</v>
      </c>
      <c r="C2291" s="4" t="str">
        <f>"赵雅芝"</f>
        <v>赵雅芝</v>
      </c>
      <c r="D2291" s="4" t="str">
        <f>"2021021915"</f>
        <v>2021021915</v>
      </c>
      <c r="E2291" s="4" t="str">
        <f t="shared" si="283"/>
        <v>19</v>
      </c>
      <c r="F2291" s="4" t="str">
        <f>"15"</f>
        <v>15</v>
      </c>
      <c r="G2291" s="4" t="s">
        <v>27</v>
      </c>
      <c r="H2291" s="5">
        <v>67.95</v>
      </c>
      <c r="I2291" s="4"/>
      <c r="J2291" s="4">
        <f>SUMPRODUCT(--((A2291=$A$3:$A$2785)*$H$3:$H$2785&gt;H2291))+1</f>
        <v>5</v>
      </c>
    </row>
    <row r="2292" s="1" customFormat="true" customHeight="true" spans="1:10">
      <c r="A2292" s="4" t="str">
        <f t="shared" si="282"/>
        <v>032</v>
      </c>
      <c r="B2292" s="4" t="s">
        <v>44</v>
      </c>
      <c r="C2292" s="4" t="str">
        <f>"莫才莲"</f>
        <v>莫才莲</v>
      </c>
      <c r="D2292" s="4" t="str">
        <f>"2021021926"</f>
        <v>2021021926</v>
      </c>
      <c r="E2292" s="4" t="str">
        <f t="shared" si="283"/>
        <v>19</v>
      </c>
      <c r="F2292" s="4" t="str">
        <f>"26"</f>
        <v>26</v>
      </c>
      <c r="G2292" s="4" t="s">
        <v>27</v>
      </c>
      <c r="H2292" s="5">
        <v>67.05</v>
      </c>
      <c r="I2292" s="4"/>
      <c r="J2292" s="4">
        <f>SUMPRODUCT(--((A2292=$A$3:$A$2785)*$H$3:$H$2785&gt;H2292))+1</f>
        <v>6</v>
      </c>
    </row>
    <row r="2293" s="1" customFormat="true" customHeight="true" spans="1:10">
      <c r="A2293" s="4" t="str">
        <f t="shared" si="282"/>
        <v>032</v>
      </c>
      <c r="B2293" s="4" t="s">
        <v>44</v>
      </c>
      <c r="C2293" s="4" t="str">
        <f>"宋珍珍"</f>
        <v>宋珍珍</v>
      </c>
      <c r="D2293" s="4" t="str">
        <f>"2021021919"</f>
        <v>2021021919</v>
      </c>
      <c r="E2293" s="4" t="str">
        <f t="shared" si="283"/>
        <v>19</v>
      </c>
      <c r="F2293" s="4" t="str">
        <f>"19"</f>
        <v>19</v>
      </c>
      <c r="G2293" s="4" t="s">
        <v>27</v>
      </c>
      <c r="H2293" s="5">
        <v>66.15</v>
      </c>
      <c r="I2293" s="4"/>
      <c r="J2293" s="4">
        <f>SUMPRODUCT(--((A2293=$A$3:$A$2785)*$H$3:$H$2785&gt;H2293))+1</f>
        <v>7</v>
      </c>
    </row>
    <row r="2294" s="1" customFormat="true" customHeight="true" spans="1:10">
      <c r="A2294" s="4" t="str">
        <f t="shared" si="282"/>
        <v>032</v>
      </c>
      <c r="B2294" s="4" t="s">
        <v>44</v>
      </c>
      <c r="C2294" s="4" t="str">
        <f>"欧再芳"</f>
        <v>欧再芳</v>
      </c>
      <c r="D2294" s="4" t="str">
        <f>"2021021921"</f>
        <v>2021021921</v>
      </c>
      <c r="E2294" s="4" t="str">
        <f t="shared" si="283"/>
        <v>19</v>
      </c>
      <c r="F2294" s="4" t="str">
        <f>"21"</f>
        <v>21</v>
      </c>
      <c r="G2294" s="4" t="s">
        <v>27</v>
      </c>
      <c r="H2294" s="5">
        <v>63.15</v>
      </c>
      <c r="I2294" s="4"/>
      <c r="J2294" s="4">
        <f>SUMPRODUCT(--((A2294=$A$3:$A$2785)*$H$3:$H$2785&gt;H2294))+1</f>
        <v>8</v>
      </c>
    </row>
    <row r="2295" s="1" customFormat="true" customHeight="true" spans="1:10">
      <c r="A2295" s="4" t="str">
        <f t="shared" si="282"/>
        <v>032</v>
      </c>
      <c r="B2295" s="4" t="s">
        <v>44</v>
      </c>
      <c r="C2295" s="4" t="str">
        <f>"潘静怡"</f>
        <v>潘静怡</v>
      </c>
      <c r="D2295" s="4" t="str">
        <f>"2021021923"</f>
        <v>2021021923</v>
      </c>
      <c r="E2295" s="4" t="str">
        <f t="shared" si="283"/>
        <v>19</v>
      </c>
      <c r="F2295" s="4" t="str">
        <f>"23"</f>
        <v>23</v>
      </c>
      <c r="G2295" s="4" t="s">
        <v>27</v>
      </c>
      <c r="H2295" s="5">
        <v>62.35</v>
      </c>
      <c r="I2295" s="4"/>
      <c r="J2295" s="4">
        <f>SUMPRODUCT(--((A2295=$A$3:$A$2785)*$H$3:$H$2785&gt;H2295))+1</f>
        <v>9</v>
      </c>
    </row>
    <row r="2296" s="1" customFormat="true" customHeight="true" spans="1:10">
      <c r="A2296" s="4" t="str">
        <f t="shared" si="282"/>
        <v>032</v>
      </c>
      <c r="B2296" s="4" t="s">
        <v>44</v>
      </c>
      <c r="C2296" s="4" t="str">
        <f>"周雯"</f>
        <v>周雯</v>
      </c>
      <c r="D2296" s="4" t="str">
        <f>"2021021928"</f>
        <v>2021021928</v>
      </c>
      <c r="E2296" s="4" t="str">
        <f t="shared" si="283"/>
        <v>19</v>
      </c>
      <c r="F2296" s="4" t="str">
        <f>"28"</f>
        <v>28</v>
      </c>
      <c r="G2296" s="4" t="s">
        <v>27</v>
      </c>
      <c r="H2296" s="5">
        <v>42.1</v>
      </c>
      <c r="I2296" s="4"/>
      <c r="J2296" s="4">
        <f>SUMPRODUCT(--((A2296=$A$3:$A$2785)*$H$3:$H$2785&gt;H2296))+1</f>
        <v>10</v>
      </c>
    </row>
    <row r="2297" s="1" customFormat="true" customHeight="true" spans="1:10">
      <c r="A2297" s="4" t="str">
        <f t="shared" si="282"/>
        <v>032</v>
      </c>
      <c r="B2297" s="4" t="s">
        <v>44</v>
      </c>
      <c r="C2297" s="4" t="str">
        <f>"肖诗雯"</f>
        <v>肖诗雯</v>
      </c>
      <c r="D2297" s="4" t="str">
        <f>"2021021911"</f>
        <v>2021021911</v>
      </c>
      <c r="E2297" s="4" t="str">
        <f t="shared" si="283"/>
        <v>19</v>
      </c>
      <c r="F2297" s="4" t="str">
        <f>"11"</f>
        <v>11</v>
      </c>
      <c r="G2297" s="4" t="s">
        <v>27</v>
      </c>
      <c r="H2297" s="5">
        <v>0</v>
      </c>
      <c r="I2297" s="6" t="s">
        <v>13</v>
      </c>
      <c r="J2297" s="4">
        <f>SUMPRODUCT(--((A2297=$A$3:$A$2785)*$H$3:$H$2785&gt;H2297))+1</f>
        <v>11</v>
      </c>
    </row>
    <row r="2298" s="1" customFormat="true" customHeight="true" spans="1:10">
      <c r="A2298" s="4" t="str">
        <f t="shared" si="282"/>
        <v>032</v>
      </c>
      <c r="B2298" s="4" t="s">
        <v>44</v>
      </c>
      <c r="C2298" s="4" t="str">
        <f>"肖晨"</f>
        <v>肖晨</v>
      </c>
      <c r="D2298" s="4" t="str">
        <f>"2021021912"</f>
        <v>2021021912</v>
      </c>
      <c r="E2298" s="4" t="str">
        <f t="shared" si="283"/>
        <v>19</v>
      </c>
      <c r="F2298" s="4" t="str">
        <f>"12"</f>
        <v>12</v>
      </c>
      <c r="G2298" s="4" t="s">
        <v>27</v>
      </c>
      <c r="H2298" s="5">
        <v>0</v>
      </c>
      <c r="I2298" s="6" t="s">
        <v>13</v>
      </c>
      <c r="J2298" s="4">
        <f>SUMPRODUCT(--((A2298=$A$3:$A$2785)*$H$3:$H$2785&gt;H2298))+1</f>
        <v>11</v>
      </c>
    </row>
    <row r="2299" s="1" customFormat="true" customHeight="true" spans="1:10">
      <c r="A2299" s="4" t="str">
        <f t="shared" si="282"/>
        <v>032</v>
      </c>
      <c r="B2299" s="4" t="s">
        <v>44</v>
      </c>
      <c r="C2299" s="4" t="str">
        <f>"徐哲希"</f>
        <v>徐哲希</v>
      </c>
      <c r="D2299" s="4" t="str">
        <f>"2021021913"</f>
        <v>2021021913</v>
      </c>
      <c r="E2299" s="4" t="str">
        <f t="shared" si="283"/>
        <v>19</v>
      </c>
      <c r="F2299" s="4" t="str">
        <f>"13"</f>
        <v>13</v>
      </c>
      <c r="G2299" s="4" t="s">
        <v>27</v>
      </c>
      <c r="H2299" s="5">
        <v>0</v>
      </c>
      <c r="I2299" s="6" t="s">
        <v>13</v>
      </c>
      <c r="J2299" s="4">
        <f>SUMPRODUCT(--((A2299=$A$3:$A$2785)*$H$3:$H$2785&gt;H2299))+1</f>
        <v>11</v>
      </c>
    </row>
    <row r="2300" s="1" customFormat="true" customHeight="true" spans="1:10">
      <c r="A2300" s="4" t="str">
        <f t="shared" si="282"/>
        <v>032</v>
      </c>
      <c r="B2300" s="4" t="s">
        <v>44</v>
      </c>
      <c r="C2300" s="4" t="str">
        <f>"张盛兰"</f>
        <v>张盛兰</v>
      </c>
      <c r="D2300" s="4" t="str">
        <f>"2021021914"</f>
        <v>2021021914</v>
      </c>
      <c r="E2300" s="4" t="str">
        <f t="shared" si="283"/>
        <v>19</v>
      </c>
      <c r="F2300" s="4" t="str">
        <f>"14"</f>
        <v>14</v>
      </c>
      <c r="G2300" s="4" t="s">
        <v>27</v>
      </c>
      <c r="H2300" s="5">
        <v>0</v>
      </c>
      <c r="I2300" s="6" t="s">
        <v>13</v>
      </c>
      <c r="J2300" s="4">
        <f>SUMPRODUCT(--((A2300=$A$3:$A$2785)*$H$3:$H$2785&gt;H2300))+1</f>
        <v>11</v>
      </c>
    </row>
    <row r="2301" s="1" customFormat="true" customHeight="true" spans="1:10">
      <c r="A2301" s="4" t="str">
        <f t="shared" si="282"/>
        <v>032</v>
      </c>
      <c r="B2301" s="4" t="s">
        <v>44</v>
      </c>
      <c r="C2301" s="4" t="str">
        <f>"肖桂红"</f>
        <v>肖桂红</v>
      </c>
      <c r="D2301" s="4" t="str">
        <f>"2021021916"</f>
        <v>2021021916</v>
      </c>
      <c r="E2301" s="4" t="str">
        <f t="shared" si="283"/>
        <v>19</v>
      </c>
      <c r="F2301" s="4" t="str">
        <f>"16"</f>
        <v>16</v>
      </c>
      <c r="G2301" s="4" t="s">
        <v>27</v>
      </c>
      <c r="H2301" s="5">
        <v>0</v>
      </c>
      <c r="I2301" s="6" t="s">
        <v>13</v>
      </c>
      <c r="J2301" s="4">
        <f>SUMPRODUCT(--((A2301=$A$3:$A$2785)*$H$3:$H$2785&gt;H2301))+1</f>
        <v>11</v>
      </c>
    </row>
    <row r="2302" s="1" customFormat="true" customHeight="true" spans="1:10">
      <c r="A2302" s="4" t="str">
        <f t="shared" si="282"/>
        <v>032</v>
      </c>
      <c r="B2302" s="4" t="s">
        <v>44</v>
      </c>
      <c r="C2302" s="4" t="str">
        <f>"张庆梅"</f>
        <v>张庆梅</v>
      </c>
      <c r="D2302" s="4" t="str">
        <f>"2021021917"</f>
        <v>2021021917</v>
      </c>
      <c r="E2302" s="4" t="str">
        <f t="shared" si="283"/>
        <v>19</v>
      </c>
      <c r="F2302" s="4" t="str">
        <f>"17"</f>
        <v>17</v>
      </c>
      <c r="G2302" s="4" t="s">
        <v>27</v>
      </c>
      <c r="H2302" s="5">
        <v>0</v>
      </c>
      <c r="I2302" s="6" t="s">
        <v>13</v>
      </c>
      <c r="J2302" s="4">
        <f>SUMPRODUCT(--((A2302=$A$3:$A$2785)*$H$3:$H$2785&gt;H2302))+1</f>
        <v>11</v>
      </c>
    </row>
    <row r="2303" s="1" customFormat="true" customHeight="true" spans="1:10">
      <c r="A2303" s="4" t="str">
        <f t="shared" si="282"/>
        <v>032</v>
      </c>
      <c r="B2303" s="4" t="s">
        <v>44</v>
      </c>
      <c r="C2303" s="4" t="str">
        <f>"赵文婷"</f>
        <v>赵文婷</v>
      </c>
      <c r="D2303" s="4" t="str">
        <f>"2021021922"</f>
        <v>2021021922</v>
      </c>
      <c r="E2303" s="4" t="str">
        <f t="shared" si="283"/>
        <v>19</v>
      </c>
      <c r="F2303" s="4" t="str">
        <f>"22"</f>
        <v>22</v>
      </c>
      <c r="G2303" s="4" t="s">
        <v>27</v>
      </c>
      <c r="H2303" s="5">
        <v>0</v>
      </c>
      <c r="I2303" s="6" t="s">
        <v>13</v>
      </c>
      <c r="J2303" s="4">
        <f>SUMPRODUCT(--((A2303=$A$3:$A$2785)*$H$3:$H$2785&gt;H2303))+1</f>
        <v>11</v>
      </c>
    </row>
    <row r="2304" s="1" customFormat="true" customHeight="true" spans="1:10">
      <c r="A2304" s="4" t="str">
        <f t="shared" si="282"/>
        <v>032</v>
      </c>
      <c r="B2304" s="4" t="s">
        <v>44</v>
      </c>
      <c r="C2304" s="4" t="str">
        <f>"蒲玉竹"</f>
        <v>蒲玉竹</v>
      </c>
      <c r="D2304" s="4" t="str">
        <f>"2021021924"</f>
        <v>2021021924</v>
      </c>
      <c r="E2304" s="4" t="str">
        <f t="shared" si="283"/>
        <v>19</v>
      </c>
      <c r="F2304" s="4" t="str">
        <f>"24"</f>
        <v>24</v>
      </c>
      <c r="G2304" s="4" t="s">
        <v>27</v>
      </c>
      <c r="H2304" s="5">
        <v>0</v>
      </c>
      <c r="I2304" s="6" t="s">
        <v>13</v>
      </c>
      <c r="J2304" s="4">
        <f>SUMPRODUCT(--((A2304=$A$3:$A$2785)*$H$3:$H$2785&gt;H2304))+1</f>
        <v>11</v>
      </c>
    </row>
    <row r="2305" s="1" customFormat="true" customHeight="true" spans="1:10">
      <c r="A2305" s="4" t="str">
        <f t="shared" ref="A2305:A2368" si="284">"033"</f>
        <v>033</v>
      </c>
      <c r="B2305" s="4" t="s">
        <v>45</v>
      </c>
      <c r="C2305" s="4" t="str">
        <f>"张文萍"</f>
        <v>张文萍</v>
      </c>
      <c r="D2305" s="4" t="str">
        <f>"2021022908"</f>
        <v>2021022908</v>
      </c>
      <c r="E2305" s="4" t="str">
        <f>"29"</f>
        <v>29</v>
      </c>
      <c r="F2305" s="4" t="str">
        <f>"08"</f>
        <v>08</v>
      </c>
      <c r="G2305" s="4" t="s">
        <v>27</v>
      </c>
      <c r="H2305" s="5">
        <v>69.4</v>
      </c>
      <c r="I2305" s="4"/>
      <c r="J2305" s="4">
        <f>SUMPRODUCT(--((A2305=$A$3:$A$2785)*$H$3:$H$2785&gt;H2305))+1</f>
        <v>1</v>
      </c>
    </row>
    <row r="2306" s="1" customFormat="true" customHeight="true" spans="1:10">
      <c r="A2306" s="4" t="str">
        <f t="shared" si="284"/>
        <v>033</v>
      </c>
      <c r="B2306" s="4" t="s">
        <v>45</v>
      </c>
      <c r="C2306" s="4" t="str">
        <f>"沈思敏"</f>
        <v>沈思敏</v>
      </c>
      <c r="D2306" s="4" t="str">
        <f>"2021022915"</f>
        <v>2021022915</v>
      </c>
      <c r="E2306" s="4" t="str">
        <f>"29"</f>
        <v>29</v>
      </c>
      <c r="F2306" s="4" t="str">
        <f>"15"</f>
        <v>15</v>
      </c>
      <c r="G2306" s="4" t="s">
        <v>27</v>
      </c>
      <c r="H2306" s="5">
        <v>68.55</v>
      </c>
      <c r="I2306" s="4"/>
      <c r="J2306" s="4">
        <f>SUMPRODUCT(--((A2306=$A$3:$A$2785)*$H$3:$H$2785&gt;H2306))+1</f>
        <v>2</v>
      </c>
    </row>
    <row r="2307" s="1" customFormat="true" customHeight="true" spans="1:10">
      <c r="A2307" s="4" t="str">
        <f t="shared" si="284"/>
        <v>033</v>
      </c>
      <c r="B2307" s="4" t="s">
        <v>45</v>
      </c>
      <c r="C2307" s="4" t="str">
        <f>"潘虹"</f>
        <v>潘虹</v>
      </c>
      <c r="D2307" s="4" t="str">
        <f>"2021023013"</f>
        <v>2021023013</v>
      </c>
      <c r="E2307" s="4" t="str">
        <f>"30"</f>
        <v>30</v>
      </c>
      <c r="F2307" s="4" t="str">
        <f>"13"</f>
        <v>13</v>
      </c>
      <c r="G2307" s="4" t="s">
        <v>27</v>
      </c>
      <c r="H2307" s="5">
        <v>67.24</v>
      </c>
      <c r="I2307" s="4"/>
      <c r="J2307" s="4">
        <f>SUMPRODUCT(--((A2307=$A$3:$A$2785)*$H$3:$H$2785&gt;H2307))+1</f>
        <v>3</v>
      </c>
    </row>
    <row r="2308" s="1" customFormat="true" customHeight="true" spans="1:10">
      <c r="A2308" s="4" t="str">
        <f t="shared" si="284"/>
        <v>033</v>
      </c>
      <c r="B2308" s="4" t="s">
        <v>45</v>
      </c>
      <c r="C2308" s="4" t="str">
        <f>"田飞"</f>
        <v>田飞</v>
      </c>
      <c r="D2308" s="4" t="str">
        <f>"2021023405"</f>
        <v>2021023405</v>
      </c>
      <c r="E2308" s="4" t="str">
        <f>"34"</f>
        <v>34</v>
      </c>
      <c r="F2308" s="4" t="str">
        <f>"05"</f>
        <v>05</v>
      </c>
      <c r="G2308" s="4" t="s">
        <v>27</v>
      </c>
      <c r="H2308" s="5">
        <v>63.38</v>
      </c>
      <c r="I2308" s="4"/>
      <c r="J2308" s="4">
        <f>SUMPRODUCT(--((A2308=$A$3:$A$2785)*$H$3:$H$2785&gt;H2308))+1</f>
        <v>4</v>
      </c>
    </row>
    <row r="2309" s="1" customFormat="true" customHeight="true" spans="1:10">
      <c r="A2309" s="4" t="str">
        <f t="shared" si="284"/>
        <v>033</v>
      </c>
      <c r="B2309" s="4" t="s">
        <v>45</v>
      </c>
      <c r="C2309" s="4" t="str">
        <f>"唐婷"</f>
        <v>唐婷</v>
      </c>
      <c r="D2309" s="4" t="str">
        <f>"2021023016"</f>
        <v>2021023016</v>
      </c>
      <c r="E2309" s="4" t="str">
        <f>"30"</f>
        <v>30</v>
      </c>
      <c r="F2309" s="4" t="str">
        <f>"16"</f>
        <v>16</v>
      </c>
      <c r="G2309" s="4" t="s">
        <v>27</v>
      </c>
      <c r="H2309" s="5">
        <v>63.36</v>
      </c>
      <c r="I2309" s="4"/>
      <c r="J2309" s="4">
        <f>SUMPRODUCT(--((A2309=$A$3:$A$2785)*$H$3:$H$2785&gt;H2309))+1</f>
        <v>5</v>
      </c>
    </row>
    <row r="2310" s="1" customFormat="true" customHeight="true" spans="1:10">
      <c r="A2310" s="4" t="str">
        <f t="shared" si="284"/>
        <v>033</v>
      </c>
      <c r="B2310" s="4" t="s">
        <v>45</v>
      </c>
      <c r="C2310" s="4" t="str">
        <f>"雷小芳"</f>
        <v>雷小芳</v>
      </c>
      <c r="D2310" s="4" t="str">
        <f>"2021023404"</f>
        <v>2021023404</v>
      </c>
      <c r="E2310" s="4" t="str">
        <f>"34"</f>
        <v>34</v>
      </c>
      <c r="F2310" s="4" t="str">
        <f>"04"</f>
        <v>04</v>
      </c>
      <c r="G2310" s="4" t="s">
        <v>27</v>
      </c>
      <c r="H2310" s="5">
        <v>63.32</v>
      </c>
      <c r="I2310" s="4"/>
      <c r="J2310" s="4">
        <f>SUMPRODUCT(--((A2310=$A$3:$A$2785)*$H$3:$H$2785&gt;H2310))+1</f>
        <v>6</v>
      </c>
    </row>
    <row r="2311" s="1" customFormat="true" customHeight="true" spans="1:10">
      <c r="A2311" s="4" t="str">
        <f t="shared" si="284"/>
        <v>033</v>
      </c>
      <c r="B2311" s="4" t="s">
        <v>45</v>
      </c>
      <c r="C2311" s="4" t="str">
        <f>"龙俐玲"</f>
        <v>龙俐玲</v>
      </c>
      <c r="D2311" s="4" t="str">
        <f>"2021023230"</f>
        <v>2021023230</v>
      </c>
      <c r="E2311" s="4" t="str">
        <f>"32"</f>
        <v>32</v>
      </c>
      <c r="F2311" s="4" t="str">
        <f>"30"</f>
        <v>30</v>
      </c>
      <c r="G2311" s="4" t="s">
        <v>27</v>
      </c>
      <c r="H2311" s="5">
        <v>62.72</v>
      </c>
      <c r="I2311" s="4"/>
      <c r="J2311" s="4">
        <f>SUMPRODUCT(--((A2311=$A$3:$A$2785)*$H$3:$H$2785&gt;H2311))+1</f>
        <v>7</v>
      </c>
    </row>
    <row r="2312" s="1" customFormat="true" customHeight="true" spans="1:10">
      <c r="A2312" s="4" t="str">
        <f t="shared" si="284"/>
        <v>033</v>
      </c>
      <c r="B2312" s="4" t="s">
        <v>45</v>
      </c>
      <c r="C2312" s="4" t="str">
        <f>"田梦诗"</f>
        <v>田梦诗</v>
      </c>
      <c r="D2312" s="4" t="str">
        <f>"2021022812"</f>
        <v>2021022812</v>
      </c>
      <c r="E2312" s="4" t="str">
        <f>"28"</f>
        <v>28</v>
      </c>
      <c r="F2312" s="4" t="str">
        <f>"12"</f>
        <v>12</v>
      </c>
      <c r="G2312" s="4" t="s">
        <v>27</v>
      </c>
      <c r="H2312" s="5">
        <v>62.12</v>
      </c>
      <c r="I2312" s="4"/>
      <c r="J2312" s="4">
        <f>SUMPRODUCT(--((A2312=$A$3:$A$2785)*$H$3:$H$2785&gt;H2312))+1</f>
        <v>8</v>
      </c>
    </row>
    <row r="2313" s="1" customFormat="true" customHeight="true" spans="1:10">
      <c r="A2313" s="4" t="str">
        <f t="shared" si="284"/>
        <v>033</v>
      </c>
      <c r="B2313" s="4" t="s">
        <v>45</v>
      </c>
      <c r="C2313" s="4" t="str">
        <f>"覃怀英"</f>
        <v>覃怀英</v>
      </c>
      <c r="D2313" s="4" t="str">
        <f>"2021023023"</f>
        <v>2021023023</v>
      </c>
      <c r="E2313" s="4" t="str">
        <f>"30"</f>
        <v>30</v>
      </c>
      <c r="F2313" s="4" t="str">
        <f>"23"</f>
        <v>23</v>
      </c>
      <c r="G2313" s="4" t="s">
        <v>27</v>
      </c>
      <c r="H2313" s="5">
        <v>62.01</v>
      </c>
      <c r="I2313" s="4"/>
      <c r="J2313" s="4">
        <f>SUMPRODUCT(--((A2313=$A$3:$A$2785)*$H$3:$H$2785&gt;H2313))+1</f>
        <v>9</v>
      </c>
    </row>
    <row r="2314" s="1" customFormat="true" customHeight="true" spans="1:10">
      <c r="A2314" s="4" t="str">
        <f t="shared" si="284"/>
        <v>033</v>
      </c>
      <c r="B2314" s="4" t="s">
        <v>45</v>
      </c>
      <c r="C2314" s="4" t="str">
        <f>"吕倪芝"</f>
        <v>吕倪芝</v>
      </c>
      <c r="D2314" s="4" t="str">
        <f>"2021022711"</f>
        <v>2021022711</v>
      </c>
      <c r="E2314" s="4" t="str">
        <f>"27"</f>
        <v>27</v>
      </c>
      <c r="F2314" s="4" t="str">
        <f>"11"</f>
        <v>11</v>
      </c>
      <c r="G2314" s="4" t="s">
        <v>27</v>
      </c>
      <c r="H2314" s="5">
        <v>61.88</v>
      </c>
      <c r="I2314" s="4"/>
      <c r="J2314" s="4">
        <f>SUMPRODUCT(--((A2314=$A$3:$A$2785)*$H$3:$H$2785&gt;H2314))+1</f>
        <v>10</v>
      </c>
    </row>
    <row r="2315" s="1" customFormat="true" customHeight="true" spans="1:10">
      <c r="A2315" s="4" t="str">
        <f t="shared" si="284"/>
        <v>033</v>
      </c>
      <c r="B2315" s="4" t="s">
        <v>45</v>
      </c>
      <c r="C2315" s="4" t="str">
        <f>"唐巧"</f>
        <v>唐巧</v>
      </c>
      <c r="D2315" s="4" t="str">
        <f>"2021022902"</f>
        <v>2021022902</v>
      </c>
      <c r="E2315" s="4" t="str">
        <f>"29"</f>
        <v>29</v>
      </c>
      <c r="F2315" s="4" t="str">
        <f>"02"</f>
        <v>02</v>
      </c>
      <c r="G2315" s="4" t="s">
        <v>27</v>
      </c>
      <c r="H2315" s="5">
        <v>61.78</v>
      </c>
      <c r="I2315" s="4"/>
      <c r="J2315" s="4">
        <f>SUMPRODUCT(--((A2315=$A$3:$A$2785)*$H$3:$H$2785&gt;H2315))+1</f>
        <v>11</v>
      </c>
    </row>
    <row r="2316" s="1" customFormat="true" customHeight="true" spans="1:10">
      <c r="A2316" s="4" t="str">
        <f t="shared" si="284"/>
        <v>033</v>
      </c>
      <c r="B2316" s="4" t="s">
        <v>45</v>
      </c>
      <c r="C2316" s="4" t="str">
        <f>"彭子月"</f>
        <v>彭子月</v>
      </c>
      <c r="D2316" s="4" t="str">
        <f>"2021023321"</f>
        <v>2021023321</v>
      </c>
      <c r="E2316" s="4" t="str">
        <f>"33"</f>
        <v>33</v>
      </c>
      <c r="F2316" s="4" t="str">
        <f>"21"</f>
        <v>21</v>
      </c>
      <c r="G2316" s="4" t="s">
        <v>27</v>
      </c>
      <c r="H2316" s="5">
        <v>61.32</v>
      </c>
      <c r="I2316" s="4"/>
      <c r="J2316" s="4">
        <f>SUMPRODUCT(--((A2316=$A$3:$A$2785)*$H$3:$H$2785&gt;H2316))+1</f>
        <v>12</v>
      </c>
    </row>
    <row r="2317" s="1" customFormat="true" ht="46.5" customHeight="true" spans="1:10">
      <c r="A2317" s="4" t="str">
        <f t="shared" si="284"/>
        <v>033</v>
      </c>
      <c r="B2317" s="4" t="s">
        <v>45</v>
      </c>
      <c r="C2317" s="4" t="str">
        <f>"张伟"</f>
        <v>张伟</v>
      </c>
      <c r="D2317" s="4" t="str">
        <f>"2021022926"</f>
        <v>2021022926</v>
      </c>
      <c r="E2317" s="4" t="str">
        <f>"29"</f>
        <v>29</v>
      </c>
      <c r="F2317" s="4" t="str">
        <f>"26"</f>
        <v>26</v>
      </c>
      <c r="G2317" s="4" t="s">
        <v>27</v>
      </c>
      <c r="H2317" s="5">
        <v>61.28</v>
      </c>
      <c r="I2317" s="7"/>
      <c r="J2317" s="4">
        <f>SUMPRODUCT(--((A2317=$A$3:$A$2785)*$H$3:$H$2785&gt;H2317))+1</f>
        <v>13</v>
      </c>
    </row>
    <row r="2318" s="1" customFormat="true" customHeight="true" spans="1:10">
      <c r="A2318" s="4" t="str">
        <f t="shared" si="284"/>
        <v>033</v>
      </c>
      <c r="B2318" s="4" t="s">
        <v>45</v>
      </c>
      <c r="C2318" s="4" t="str">
        <f>"李青"</f>
        <v>李青</v>
      </c>
      <c r="D2318" s="4" t="str">
        <f>"2021023219"</f>
        <v>2021023219</v>
      </c>
      <c r="E2318" s="4" t="str">
        <f>"32"</f>
        <v>32</v>
      </c>
      <c r="F2318" s="4" t="str">
        <f>"19"</f>
        <v>19</v>
      </c>
      <c r="G2318" s="4" t="s">
        <v>27</v>
      </c>
      <c r="H2318" s="5">
        <v>61.28</v>
      </c>
      <c r="I2318" s="4"/>
      <c r="J2318" s="4">
        <f>SUMPRODUCT(--((A2318=$A$3:$A$2785)*$H$3:$H$2785&gt;H2318))+1</f>
        <v>13</v>
      </c>
    </row>
    <row r="2319" s="1" customFormat="true" customHeight="true" spans="1:10">
      <c r="A2319" s="4" t="str">
        <f t="shared" si="284"/>
        <v>033</v>
      </c>
      <c r="B2319" s="4" t="s">
        <v>45</v>
      </c>
      <c r="C2319" s="4" t="str">
        <f>"贺春霞"</f>
        <v>贺春霞</v>
      </c>
      <c r="D2319" s="4" t="str">
        <f>"2021023209"</f>
        <v>2021023209</v>
      </c>
      <c r="E2319" s="4" t="str">
        <f>"32"</f>
        <v>32</v>
      </c>
      <c r="F2319" s="4" t="str">
        <f>"09"</f>
        <v>09</v>
      </c>
      <c r="G2319" s="4" t="s">
        <v>27</v>
      </c>
      <c r="H2319" s="5">
        <v>61.2</v>
      </c>
      <c r="I2319" s="4"/>
      <c r="J2319" s="4">
        <f>SUMPRODUCT(--((A2319=$A$3:$A$2785)*$H$3:$H$2785&gt;H2319))+1</f>
        <v>15</v>
      </c>
    </row>
    <row r="2320" s="1" customFormat="true" customHeight="true" spans="1:10">
      <c r="A2320" s="4" t="str">
        <f t="shared" si="284"/>
        <v>033</v>
      </c>
      <c r="B2320" s="4" t="s">
        <v>45</v>
      </c>
      <c r="C2320" s="4" t="str">
        <f>"覃仁芬"</f>
        <v>覃仁芬</v>
      </c>
      <c r="D2320" s="4" t="str">
        <f>"2021022815"</f>
        <v>2021022815</v>
      </c>
      <c r="E2320" s="4" t="str">
        <f>"28"</f>
        <v>28</v>
      </c>
      <c r="F2320" s="4" t="str">
        <f>"15"</f>
        <v>15</v>
      </c>
      <c r="G2320" s="4" t="s">
        <v>27</v>
      </c>
      <c r="H2320" s="5">
        <v>61.16</v>
      </c>
      <c r="I2320" s="4"/>
      <c r="J2320" s="4">
        <f>SUMPRODUCT(--((A2320=$A$3:$A$2785)*$H$3:$H$2785&gt;H2320))+1</f>
        <v>16</v>
      </c>
    </row>
    <row r="2321" s="1" customFormat="true" customHeight="true" spans="1:10">
      <c r="A2321" s="4" t="str">
        <f t="shared" si="284"/>
        <v>033</v>
      </c>
      <c r="B2321" s="4" t="s">
        <v>45</v>
      </c>
      <c r="C2321" s="4" t="str">
        <f>"王芝"</f>
        <v>王芝</v>
      </c>
      <c r="D2321" s="4" t="str">
        <f>"2021022826"</f>
        <v>2021022826</v>
      </c>
      <c r="E2321" s="4" t="str">
        <f>"28"</f>
        <v>28</v>
      </c>
      <c r="F2321" s="4" t="str">
        <f>"26"</f>
        <v>26</v>
      </c>
      <c r="G2321" s="4" t="s">
        <v>27</v>
      </c>
      <c r="H2321" s="5">
        <v>60.84</v>
      </c>
      <c r="I2321" s="4"/>
      <c r="J2321" s="4">
        <f>SUMPRODUCT(--((A2321=$A$3:$A$2785)*$H$3:$H$2785&gt;H2321))+1</f>
        <v>17</v>
      </c>
    </row>
    <row r="2322" s="1" customFormat="true" customHeight="true" spans="1:10">
      <c r="A2322" s="4" t="str">
        <f t="shared" si="284"/>
        <v>033</v>
      </c>
      <c r="B2322" s="4" t="s">
        <v>45</v>
      </c>
      <c r="C2322" s="4" t="str">
        <f>"王娟"</f>
        <v>王娟</v>
      </c>
      <c r="D2322" s="4" t="str">
        <f>"2021023401"</f>
        <v>2021023401</v>
      </c>
      <c r="E2322" s="4" t="str">
        <f>"34"</f>
        <v>34</v>
      </c>
      <c r="F2322" s="4" t="str">
        <f>"01"</f>
        <v>01</v>
      </c>
      <c r="G2322" s="4" t="s">
        <v>27</v>
      </c>
      <c r="H2322" s="5">
        <v>59.86</v>
      </c>
      <c r="I2322" s="4"/>
      <c r="J2322" s="4">
        <f>SUMPRODUCT(--((A2322=$A$3:$A$2785)*$H$3:$H$2785&gt;H2322))+1</f>
        <v>18</v>
      </c>
    </row>
    <row r="2323" s="1" customFormat="true" customHeight="true" spans="1:10">
      <c r="A2323" s="4" t="str">
        <f t="shared" si="284"/>
        <v>033</v>
      </c>
      <c r="B2323" s="4" t="s">
        <v>45</v>
      </c>
      <c r="C2323" s="4" t="str">
        <f>"邱洁琼"</f>
        <v>邱洁琼</v>
      </c>
      <c r="D2323" s="4" t="str">
        <f>"2021023322"</f>
        <v>2021023322</v>
      </c>
      <c r="E2323" s="4" t="str">
        <f>"33"</f>
        <v>33</v>
      </c>
      <c r="F2323" s="4" t="str">
        <f>"22"</f>
        <v>22</v>
      </c>
      <c r="G2323" s="4" t="s">
        <v>27</v>
      </c>
      <c r="H2323" s="5">
        <v>59.78</v>
      </c>
      <c r="I2323" s="4"/>
      <c r="J2323" s="4">
        <f>SUMPRODUCT(--((A2323=$A$3:$A$2785)*$H$3:$H$2785&gt;H2323))+1</f>
        <v>19</v>
      </c>
    </row>
    <row r="2324" s="1" customFormat="true" customHeight="true" spans="1:10">
      <c r="A2324" s="4" t="str">
        <f t="shared" si="284"/>
        <v>033</v>
      </c>
      <c r="B2324" s="4" t="s">
        <v>45</v>
      </c>
      <c r="C2324" s="4" t="str">
        <f>"匡波"</f>
        <v>匡波</v>
      </c>
      <c r="D2324" s="4" t="str">
        <f>"2021022729"</f>
        <v>2021022729</v>
      </c>
      <c r="E2324" s="4" t="str">
        <f>"27"</f>
        <v>27</v>
      </c>
      <c r="F2324" s="4" t="str">
        <f>"29"</f>
        <v>29</v>
      </c>
      <c r="G2324" s="4" t="s">
        <v>27</v>
      </c>
      <c r="H2324" s="5">
        <v>59.74</v>
      </c>
      <c r="I2324" s="4"/>
      <c r="J2324" s="4">
        <f>SUMPRODUCT(--((A2324=$A$3:$A$2785)*$H$3:$H$2785&gt;H2324))+1</f>
        <v>20</v>
      </c>
    </row>
    <row r="2325" s="1" customFormat="true" customHeight="true" spans="1:10">
      <c r="A2325" s="4" t="str">
        <f t="shared" si="284"/>
        <v>033</v>
      </c>
      <c r="B2325" s="4" t="s">
        <v>45</v>
      </c>
      <c r="C2325" s="4" t="str">
        <f>"唐特珍"</f>
        <v>唐特珍</v>
      </c>
      <c r="D2325" s="4" t="str">
        <f>"2021022924"</f>
        <v>2021022924</v>
      </c>
      <c r="E2325" s="4" t="str">
        <f>"29"</f>
        <v>29</v>
      </c>
      <c r="F2325" s="4" t="str">
        <f>"24"</f>
        <v>24</v>
      </c>
      <c r="G2325" s="4" t="s">
        <v>27</v>
      </c>
      <c r="H2325" s="5">
        <v>59.57</v>
      </c>
      <c r="I2325" s="4"/>
      <c r="J2325" s="4">
        <f>SUMPRODUCT(--((A2325=$A$3:$A$2785)*$H$3:$H$2785&gt;H2325))+1</f>
        <v>21</v>
      </c>
    </row>
    <row r="2326" s="1" customFormat="true" customHeight="true" spans="1:10">
      <c r="A2326" s="4" t="str">
        <f t="shared" si="284"/>
        <v>033</v>
      </c>
      <c r="B2326" s="4" t="s">
        <v>45</v>
      </c>
      <c r="C2326" s="4" t="str">
        <f>"胡倩云"</f>
        <v>胡倩云</v>
      </c>
      <c r="D2326" s="4" t="str">
        <f>"2021023228"</f>
        <v>2021023228</v>
      </c>
      <c r="E2326" s="4" t="str">
        <f>"32"</f>
        <v>32</v>
      </c>
      <c r="F2326" s="4" t="str">
        <f>"28"</f>
        <v>28</v>
      </c>
      <c r="G2326" s="4" t="s">
        <v>27</v>
      </c>
      <c r="H2326" s="5">
        <v>59.55</v>
      </c>
      <c r="I2326" s="4"/>
      <c r="J2326" s="4">
        <f>SUMPRODUCT(--((A2326=$A$3:$A$2785)*$H$3:$H$2785&gt;H2326))+1</f>
        <v>22</v>
      </c>
    </row>
    <row r="2327" s="1" customFormat="true" customHeight="true" spans="1:10">
      <c r="A2327" s="4" t="str">
        <f t="shared" si="284"/>
        <v>033</v>
      </c>
      <c r="B2327" s="4" t="s">
        <v>45</v>
      </c>
      <c r="C2327" s="4" t="str">
        <f>"贺梦琴"</f>
        <v>贺梦琴</v>
      </c>
      <c r="D2327" s="4" t="str">
        <f>"2021023315"</f>
        <v>2021023315</v>
      </c>
      <c r="E2327" s="4" t="str">
        <f>"33"</f>
        <v>33</v>
      </c>
      <c r="F2327" s="4" t="str">
        <f>"15"</f>
        <v>15</v>
      </c>
      <c r="G2327" s="4" t="s">
        <v>27</v>
      </c>
      <c r="H2327" s="5">
        <v>59.51</v>
      </c>
      <c r="I2327" s="4"/>
      <c r="J2327" s="4">
        <f>SUMPRODUCT(--((A2327=$A$3:$A$2785)*$H$3:$H$2785&gt;H2327))+1</f>
        <v>23</v>
      </c>
    </row>
    <row r="2328" s="1" customFormat="true" customHeight="true" spans="1:10">
      <c r="A2328" s="4" t="str">
        <f t="shared" si="284"/>
        <v>033</v>
      </c>
      <c r="B2328" s="4" t="s">
        <v>45</v>
      </c>
      <c r="C2328" s="4" t="str">
        <f>"肖池英"</f>
        <v>肖池英</v>
      </c>
      <c r="D2328" s="4" t="str">
        <f>"2021022919"</f>
        <v>2021022919</v>
      </c>
      <c r="E2328" s="4" t="str">
        <f>"29"</f>
        <v>29</v>
      </c>
      <c r="F2328" s="4" t="str">
        <f>"19"</f>
        <v>19</v>
      </c>
      <c r="G2328" s="4" t="s">
        <v>27</v>
      </c>
      <c r="H2328" s="5">
        <v>59.24</v>
      </c>
      <c r="I2328" s="4"/>
      <c r="J2328" s="4">
        <f>SUMPRODUCT(--((A2328=$A$3:$A$2785)*$H$3:$H$2785&gt;H2328))+1</f>
        <v>24</v>
      </c>
    </row>
    <row r="2329" s="1" customFormat="true" customHeight="true" spans="1:10">
      <c r="A2329" s="4" t="str">
        <f t="shared" si="284"/>
        <v>033</v>
      </c>
      <c r="B2329" s="4" t="s">
        <v>45</v>
      </c>
      <c r="C2329" s="4" t="str">
        <f>"黄克戏"</f>
        <v>黄克戏</v>
      </c>
      <c r="D2329" s="4" t="str">
        <f>"2021022830"</f>
        <v>2021022830</v>
      </c>
      <c r="E2329" s="4" t="str">
        <f t="shared" ref="E2329:E2334" si="285">"28"</f>
        <v>28</v>
      </c>
      <c r="F2329" s="4" t="str">
        <f>"30"</f>
        <v>30</v>
      </c>
      <c r="G2329" s="4" t="s">
        <v>27</v>
      </c>
      <c r="H2329" s="5">
        <v>59.2</v>
      </c>
      <c r="I2329" s="4"/>
      <c r="J2329" s="4">
        <f>SUMPRODUCT(--((A2329=$A$3:$A$2785)*$H$3:$H$2785&gt;H2329))+1</f>
        <v>25</v>
      </c>
    </row>
    <row r="2330" s="1" customFormat="true" customHeight="true" spans="1:10">
      <c r="A2330" s="4" t="str">
        <f t="shared" si="284"/>
        <v>033</v>
      </c>
      <c r="B2330" s="4" t="s">
        <v>45</v>
      </c>
      <c r="C2330" s="4" t="str">
        <f>"张凤"</f>
        <v>张凤</v>
      </c>
      <c r="D2330" s="4" t="str">
        <f>"2021022814"</f>
        <v>2021022814</v>
      </c>
      <c r="E2330" s="4" t="str">
        <f t="shared" si="285"/>
        <v>28</v>
      </c>
      <c r="F2330" s="4" t="str">
        <f>"14"</f>
        <v>14</v>
      </c>
      <c r="G2330" s="4" t="s">
        <v>27</v>
      </c>
      <c r="H2330" s="5">
        <v>59.12</v>
      </c>
      <c r="I2330" s="4"/>
      <c r="J2330" s="4">
        <f>SUMPRODUCT(--((A2330=$A$3:$A$2785)*$H$3:$H$2785&gt;H2330))+1</f>
        <v>26</v>
      </c>
    </row>
    <row r="2331" s="1" customFormat="true" customHeight="true" spans="1:10">
      <c r="A2331" s="4" t="str">
        <f t="shared" si="284"/>
        <v>033</v>
      </c>
      <c r="B2331" s="4" t="s">
        <v>45</v>
      </c>
      <c r="C2331" s="4" t="str">
        <f>"杨倩倩"</f>
        <v>杨倩倩</v>
      </c>
      <c r="D2331" s="4" t="str">
        <f>"2021022723"</f>
        <v>2021022723</v>
      </c>
      <c r="E2331" s="4" t="str">
        <f>"27"</f>
        <v>27</v>
      </c>
      <c r="F2331" s="4" t="str">
        <f>"23"</f>
        <v>23</v>
      </c>
      <c r="G2331" s="4" t="s">
        <v>27</v>
      </c>
      <c r="H2331" s="5">
        <v>59.05</v>
      </c>
      <c r="I2331" s="4"/>
      <c r="J2331" s="4">
        <f>SUMPRODUCT(--((A2331=$A$3:$A$2785)*$H$3:$H$2785&gt;H2331))+1</f>
        <v>27</v>
      </c>
    </row>
    <row r="2332" s="1" customFormat="true" customHeight="true" spans="1:10">
      <c r="A2332" s="4" t="str">
        <f t="shared" si="284"/>
        <v>033</v>
      </c>
      <c r="B2332" s="4" t="s">
        <v>45</v>
      </c>
      <c r="C2332" s="4" t="str">
        <f>"张欢"</f>
        <v>张欢</v>
      </c>
      <c r="D2332" s="4" t="str">
        <f>"2021023130"</f>
        <v>2021023130</v>
      </c>
      <c r="E2332" s="4" t="str">
        <f>"31"</f>
        <v>31</v>
      </c>
      <c r="F2332" s="4" t="str">
        <f>"30"</f>
        <v>30</v>
      </c>
      <c r="G2332" s="4" t="s">
        <v>27</v>
      </c>
      <c r="H2332" s="5">
        <v>58.57</v>
      </c>
      <c r="I2332" s="4"/>
      <c r="J2332" s="4">
        <f>SUMPRODUCT(--((A2332=$A$3:$A$2785)*$H$3:$H$2785&gt;H2332))+1</f>
        <v>28</v>
      </c>
    </row>
    <row r="2333" s="1" customFormat="true" customHeight="true" spans="1:10">
      <c r="A2333" s="4" t="str">
        <f t="shared" si="284"/>
        <v>033</v>
      </c>
      <c r="B2333" s="4" t="s">
        <v>45</v>
      </c>
      <c r="C2333" s="4" t="str">
        <f>"龙绪湘"</f>
        <v>龙绪湘</v>
      </c>
      <c r="D2333" s="4" t="str">
        <f>"2021023105"</f>
        <v>2021023105</v>
      </c>
      <c r="E2333" s="4" t="str">
        <f>"31"</f>
        <v>31</v>
      </c>
      <c r="F2333" s="4" t="str">
        <f>"05"</f>
        <v>05</v>
      </c>
      <c r="G2333" s="4" t="s">
        <v>27</v>
      </c>
      <c r="H2333" s="5">
        <v>58.36</v>
      </c>
      <c r="I2333" s="4"/>
      <c r="J2333" s="4">
        <f>SUMPRODUCT(--((A2333=$A$3:$A$2785)*$H$3:$H$2785&gt;H2333))+1</f>
        <v>29</v>
      </c>
    </row>
    <row r="2334" s="1" customFormat="true" customHeight="true" spans="1:10">
      <c r="A2334" s="4" t="str">
        <f t="shared" si="284"/>
        <v>033</v>
      </c>
      <c r="B2334" s="4" t="s">
        <v>45</v>
      </c>
      <c r="C2334" s="4" t="str">
        <f>"黄思慧"</f>
        <v>黄思慧</v>
      </c>
      <c r="D2334" s="4" t="str">
        <f>"2021022809"</f>
        <v>2021022809</v>
      </c>
      <c r="E2334" s="4" t="str">
        <f t="shared" si="285"/>
        <v>28</v>
      </c>
      <c r="F2334" s="4" t="str">
        <f>"09"</f>
        <v>09</v>
      </c>
      <c r="G2334" s="4" t="s">
        <v>27</v>
      </c>
      <c r="H2334" s="5">
        <v>58.26</v>
      </c>
      <c r="I2334" s="4"/>
      <c r="J2334" s="4">
        <f>SUMPRODUCT(--((A2334=$A$3:$A$2785)*$H$3:$H$2785&gt;H2334))+1</f>
        <v>30</v>
      </c>
    </row>
    <row r="2335" s="1" customFormat="true" customHeight="true" spans="1:10">
      <c r="A2335" s="4" t="str">
        <f t="shared" si="284"/>
        <v>033</v>
      </c>
      <c r="B2335" s="4" t="s">
        <v>45</v>
      </c>
      <c r="C2335" s="4" t="str">
        <f>"戴春芳"</f>
        <v>戴春芳</v>
      </c>
      <c r="D2335" s="4" t="str">
        <f>"2021022921"</f>
        <v>2021022921</v>
      </c>
      <c r="E2335" s="4" t="str">
        <f>"29"</f>
        <v>29</v>
      </c>
      <c r="F2335" s="4" t="str">
        <f>"21"</f>
        <v>21</v>
      </c>
      <c r="G2335" s="4" t="s">
        <v>27</v>
      </c>
      <c r="H2335" s="5">
        <v>58.24</v>
      </c>
      <c r="I2335" s="4"/>
      <c r="J2335" s="4">
        <f>SUMPRODUCT(--((A2335=$A$3:$A$2785)*$H$3:$H$2785&gt;H2335))+1</f>
        <v>31</v>
      </c>
    </row>
    <row r="2336" s="1" customFormat="true" customHeight="true" spans="1:10">
      <c r="A2336" s="4" t="str">
        <f t="shared" si="284"/>
        <v>033</v>
      </c>
      <c r="B2336" s="4" t="s">
        <v>45</v>
      </c>
      <c r="C2336" s="4" t="str">
        <f>"胡建雯"</f>
        <v>胡建雯</v>
      </c>
      <c r="D2336" s="4" t="str">
        <f>"2021023312"</f>
        <v>2021023312</v>
      </c>
      <c r="E2336" s="4" t="str">
        <f t="shared" ref="E2336:E2340" si="286">"33"</f>
        <v>33</v>
      </c>
      <c r="F2336" s="4" t="str">
        <f>"12"</f>
        <v>12</v>
      </c>
      <c r="G2336" s="4" t="s">
        <v>27</v>
      </c>
      <c r="H2336" s="5">
        <v>57.68</v>
      </c>
      <c r="I2336" s="4"/>
      <c r="J2336" s="4">
        <f>SUMPRODUCT(--((A2336=$A$3:$A$2785)*$H$3:$H$2785&gt;H2336))+1</f>
        <v>32</v>
      </c>
    </row>
    <row r="2337" s="1" customFormat="true" customHeight="true" spans="1:10">
      <c r="A2337" s="4" t="str">
        <f t="shared" si="284"/>
        <v>033</v>
      </c>
      <c r="B2337" s="4" t="s">
        <v>45</v>
      </c>
      <c r="C2337" s="4" t="str">
        <f>"张秀群"</f>
        <v>张秀群</v>
      </c>
      <c r="D2337" s="4" t="str">
        <f>"2021023022"</f>
        <v>2021023022</v>
      </c>
      <c r="E2337" s="4" t="str">
        <f>"30"</f>
        <v>30</v>
      </c>
      <c r="F2337" s="4" t="str">
        <f>"22"</f>
        <v>22</v>
      </c>
      <c r="G2337" s="4" t="s">
        <v>27</v>
      </c>
      <c r="H2337" s="5">
        <v>57.63</v>
      </c>
      <c r="I2337" s="4"/>
      <c r="J2337" s="4">
        <f>SUMPRODUCT(--((A2337=$A$3:$A$2785)*$H$3:$H$2785&gt;H2337))+1</f>
        <v>33</v>
      </c>
    </row>
    <row r="2338" s="1" customFormat="true" customHeight="true" spans="1:10">
      <c r="A2338" s="4" t="str">
        <f t="shared" si="284"/>
        <v>033</v>
      </c>
      <c r="B2338" s="4" t="s">
        <v>45</v>
      </c>
      <c r="C2338" s="4" t="str">
        <f>"张玉婷"</f>
        <v>张玉婷</v>
      </c>
      <c r="D2338" s="4" t="str">
        <f>"2021022813"</f>
        <v>2021022813</v>
      </c>
      <c r="E2338" s="4" t="str">
        <f>"28"</f>
        <v>28</v>
      </c>
      <c r="F2338" s="4" t="str">
        <f>"13"</f>
        <v>13</v>
      </c>
      <c r="G2338" s="4" t="s">
        <v>27</v>
      </c>
      <c r="H2338" s="5">
        <v>57.4</v>
      </c>
      <c r="I2338" s="4"/>
      <c r="J2338" s="4">
        <f>SUMPRODUCT(--((A2338=$A$3:$A$2785)*$H$3:$H$2785&gt;H2338))+1</f>
        <v>34</v>
      </c>
    </row>
    <row r="2339" s="1" customFormat="true" customHeight="true" spans="1:10">
      <c r="A2339" s="4" t="str">
        <f t="shared" si="284"/>
        <v>033</v>
      </c>
      <c r="B2339" s="4" t="s">
        <v>45</v>
      </c>
      <c r="C2339" s="4" t="str">
        <f>"向彩慧"</f>
        <v>向彩慧</v>
      </c>
      <c r="D2339" s="4" t="str">
        <f>"2021023305"</f>
        <v>2021023305</v>
      </c>
      <c r="E2339" s="4" t="str">
        <f t="shared" si="286"/>
        <v>33</v>
      </c>
      <c r="F2339" s="4" t="str">
        <f>"05"</f>
        <v>05</v>
      </c>
      <c r="G2339" s="4" t="s">
        <v>27</v>
      </c>
      <c r="H2339" s="5">
        <v>57.34</v>
      </c>
      <c r="I2339" s="4"/>
      <c r="J2339" s="4">
        <f>SUMPRODUCT(--((A2339=$A$3:$A$2785)*$H$3:$H$2785&gt;H2339))+1</f>
        <v>35</v>
      </c>
    </row>
    <row r="2340" s="1" customFormat="true" customHeight="true" spans="1:10">
      <c r="A2340" s="4" t="str">
        <f t="shared" si="284"/>
        <v>033</v>
      </c>
      <c r="B2340" s="4" t="s">
        <v>45</v>
      </c>
      <c r="C2340" s="4" t="str">
        <f>"罗滨"</f>
        <v>罗滨</v>
      </c>
      <c r="D2340" s="4" t="str">
        <f>"2021023306"</f>
        <v>2021023306</v>
      </c>
      <c r="E2340" s="4" t="str">
        <f t="shared" si="286"/>
        <v>33</v>
      </c>
      <c r="F2340" s="4" t="str">
        <f>"06"</f>
        <v>06</v>
      </c>
      <c r="G2340" s="4" t="s">
        <v>27</v>
      </c>
      <c r="H2340" s="5">
        <v>57.1</v>
      </c>
      <c r="I2340" s="4"/>
      <c r="J2340" s="4">
        <f>SUMPRODUCT(--((A2340=$A$3:$A$2785)*$H$3:$H$2785&gt;H2340))+1</f>
        <v>36</v>
      </c>
    </row>
    <row r="2341" s="1" customFormat="true" customHeight="true" spans="1:10">
      <c r="A2341" s="4" t="str">
        <f t="shared" si="284"/>
        <v>033</v>
      </c>
      <c r="B2341" s="4" t="s">
        <v>45</v>
      </c>
      <c r="C2341" s="4" t="str">
        <f>"明艳妮"</f>
        <v>明艳妮</v>
      </c>
      <c r="D2341" s="4" t="str">
        <f>"2021022727"</f>
        <v>2021022727</v>
      </c>
      <c r="E2341" s="4" t="str">
        <f t="shared" ref="E2341:E2346" si="287">"27"</f>
        <v>27</v>
      </c>
      <c r="F2341" s="4" t="str">
        <f>"27"</f>
        <v>27</v>
      </c>
      <c r="G2341" s="4" t="s">
        <v>27</v>
      </c>
      <c r="H2341" s="5">
        <v>57.07</v>
      </c>
      <c r="I2341" s="4"/>
      <c r="J2341" s="4">
        <f>SUMPRODUCT(--((A2341=$A$3:$A$2785)*$H$3:$H$2785&gt;H2341))+1</f>
        <v>37</v>
      </c>
    </row>
    <row r="2342" s="1" customFormat="true" customHeight="true" spans="1:10">
      <c r="A2342" s="4" t="str">
        <f t="shared" si="284"/>
        <v>033</v>
      </c>
      <c r="B2342" s="4" t="s">
        <v>45</v>
      </c>
      <c r="C2342" s="4" t="str">
        <f>"杨美芳"</f>
        <v>杨美芳</v>
      </c>
      <c r="D2342" s="4" t="str">
        <f>"2021023012"</f>
        <v>2021023012</v>
      </c>
      <c r="E2342" s="4" t="str">
        <f>"30"</f>
        <v>30</v>
      </c>
      <c r="F2342" s="4" t="str">
        <f>"12"</f>
        <v>12</v>
      </c>
      <c r="G2342" s="4" t="s">
        <v>27</v>
      </c>
      <c r="H2342" s="5">
        <v>56.8</v>
      </c>
      <c r="I2342" s="4"/>
      <c r="J2342" s="4">
        <f>SUMPRODUCT(--((A2342=$A$3:$A$2785)*$H$3:$H$2785&gt;H2342))+1</f>
        <v>38</v>
      </c>
    </row>
    <row r="2343" s="1" customFormat="true" customHeight="true" spans="1:10">
      <c r="A2343" s="4" t="str">
        <f t="shared" si="284"/>
        <v>033</v>
      </c>
      <c r="B2343" s="4" t="s">
        <v>45</v>
      </c>
      <c r="C2343" s="4" t="str">
        <f>"孙程"</f>
        <v>孙程</v>
      </c>
      <c r="D2343" s="4" t="str">
        <f>"2021023407"</f>
        <v>2021023407</v>
      </c>
      <c r="E2343" s="4" t="str">
        <f>"34"</f>
        <v>34</v>
      </c>
      <c r="F2343" s="4" t="str">
        <f>"07"</f>
        <v>07</v>
      </c>
      <c r="G2343" s="4" t="s">
        <v>27</v>
      </c>
      <c r="H2343" s="5">
        <v>56.78</v>
      </c>
      <c r="I2343" s="4"/>
      <c r="J2343" s="4">
        <f>SUMPRODUCT(--((A2343=$A$3:$A$2785)*$H$3:$H$2785&gt;H2343))+1</f>
        <v>39</v>
      </c>
    </row>
    <row r="2344" s="1" customFormat="true" customHeight="true" spans="1:10">
      <c r="A2344" s="4" t="str">
        <f t="shared" si="284"/>
        <v>033</v>
      </c>
      <c r="B2344" s="4" t="s">
        <v>45</v>
      </c>
      <c r="C2344" s="4" t="str">
        <f>"蔡典"</f>
        <v>蔡典</v>
      </c>
      <c r="D2344" s="4" t="str">
        <f>"2021022717"</f>
        <v>2021022717</v>
      </c>
      <c r="E2344" s="4" t="str">
        <f t="shared" si="287"/>
        <v>27</v>
      </c>
      <c r="F2344" s="4" t="str">
        <f>"17"</f>
        <v>17</v>
      </c>
      <c r="G2344" s="4" t="s">
        <v>27</v>
      </c>
      <c r="H2344" s="5">
        <v>56.76</v>
      </c>
      <c r="I2344" s="4"/>
      <c r="J2344" s="4">
        <f>SUMPRODUCT(--((A2344=$A$3:$A$2785)*$H$3:$H$2785&gt;H2344))+1</f>
        <v>40</v>
      </c>
    </row>
    <row r="2345" s="1" customFormat="true" customHeight="true" spans="1:10">
      <c r="A2345" s="4" t="str">
        <f t="shared" si="284"/>
        <v>033</v>
      </c>
      <c r="B2345" s="4" t="s">
        <v>45</v>
      </c>
      <c r="C2345" s="4" t="str">
        <f>"李欢"</f>
        <v>李欢</v>
      </c>
      <c r="D2345" s="4" t="str">
        <f>"2021022712"</f>
        <v>2021022712</v>
      </c>
      <c r="E2345" s="4" t="str">
        <f t="shared" si="287"/>
        <v>27</v>
      </c>
      <c r="F2345" s="4" t="str">
        <f>"12"</f>
        <v>12</v>
      </c>
      <c r="G2345" s="4" t="s">
        <v>27</v>
      </c>
      <c r="H2345" s="5">
        <v>56.7</v>
      </c>
      <c r="I2345" s="4"/>
      <c r="J2345" s="4">
        <f>SUMPRODUCT(--((A2345=$A$3:$A$2785)*$H$3:$H$2785&gt;H2345))+1</f>
        <v>41</v>
      </c>
    </row>
    <row r="2346" s="1" customFormat="true" customHeight="true" spans="1:10">
      <c r="A2346" s="4" t="str">
        <f t="shared" si="284"/>
        <v>033</v>
      </c>
      <c r="B2346" s="4" t="s">
        <v>45</v>
      </c>
      <c r="C2346" s="4" t="str">
        <f>"彭楚"</f>
        <v>彭楚</v>
      </c>
      <c r="D2346" s="4" t="str">
        <f>"2021022722"</f>
        <v>2021022722</v>
      </c>
      <c r="E2346" s="4" t="str">
        <f t="shared" si="287"/>
        <v>27</v>
      </c>
      <c r="F2346" s="4" t="str">
        <f>"22"</f>
        <v>22</v>
      </c>
      <c r="G2346" s="4" t="s">
        <v>27</v>
      </c>
      <c r="H2346" s="5">
        <v>56.32</v>
      </c>
      <c r="I2346" s="4"/>
      <c r="J2346" s="4">
        <f>SUMPRODUCT(--((A2346=$A$3:$A$2785)*$H$3:$H$2785&gt;H2346))+1</f>
        <v>42</v>
      </c>
    </row>
    <row r="2347" s="1" customFormat="true" customHeight="true" spans="1:10">
      <c r="A2347" s="4" t="str">
        <f t="shared" si="284"/>
        <v>033</v>
      </c>
      <c r="B2347" s="4" t="s">
        <v>45</v>
      </c>
      <c r="C2347" s="4" t="str">
        <f>"舒馨漫"</f>
        <v>舒馨漫</v>
      </c>
      <c r="D2347" s="4" t="str">
        <f>"2021023329"</f>
        <v>2021023329</v>
      </c>
      <c r="E2347" s="4" t="str">
        <f>"33"</f>
        <v>33</v>
      </c>
      <c r="F2347" s="4" t="str">
        <f>"29"</f>
        <v>29</v>
      </c>
      <c r="G2347" s="4" t="s">
        <v>27</v>
      </c>
      <c r="H2347" s="5">
        <v>56.32</v>
      </c>
      <c r="I2347" s="4"/>
      <c r="J2347" s="4">
        <f>SUMPRODUCT(--((A2347=$A$3:$A$2785)*$H$3:$H$2785&gt;H2347))+1</f>
        <v>42</v>
      </c>
    </row>
    <row r="2348" s="1" customFormat="true" customHeight="true" spans="1:10">
      <c r="A2348" s="4" t="str">
        <f t="shared" si="284"/>
        <v>033</v>
      </c>
      <c r="B2348" s="4" t="s">
        <v>45</v>
      </c>
      <c r="C2348" s="4" t="str">
        <f>"陈玉玲"</f>
        <v>陈玉玲</v>
      </c>
      <c r="D2348" s="4" t="str">
        <f>"2021023212"</f>
        <v>2021023212</v>
      </c>
      <c r="E2348" s="4" t="str">
        <f>"32"</f>
        <v>32</v>
      </c>
      <c r="F2348" s="4" t="str">
        <f>"12"</f>
        <v>12</v>
      </c>
      <c r="G2348" s="4" t="s">
        <v>27</v>
      </c>
      <c r="H2348" s="5">
        <v>56.2</v>
      </c>
      <c r="I2348" s="4"/>
      <c r="J2348" s="4">
        <f>SUMPRODUCT(--((A2348=$A$3:$A$2785)*$H$3:$H$2785&gt;H2348))+1</f>
        <v>44</v>
      </c>
    </row>
    <row r="2349" s="1" customFormat="true" customHeight="true" spans="1:10">
      <c r="A2349" s="4" t="str">
        <f t="shared" si="284"/>
        <v>033</v>
      </c>
      <c r="B2349" s="4" t="s">
        <v>45</v>
      </c>
      <c r="C2349" s="4" t="str">
        <f>"夏明明"</f>
        <v>夏明明</v>
      </c>
      <c r="D2349" s="4" t="str">
        <f>"2021023327"</f>
        <v>2021023327</v>
      </c>
      <c r="E2349" s="4" t="str">
        <f>"33"</f>
        <v>33</v>
      </c>
      <c r="F2349" s="4" t="str">
        <f>"27"</f>
        <v>27</v>
      </c>
      <c r="G2349" s="4" t="s">
        <v>27</v>
      </c>
      <c r="H2349" s="5">
        <v>56.07</v>
      </c>
      <c r="I2349" s="4"/>
      <c r="J2349" s="4">
        <f>SUMPRODUCT(--((A2349=$A$3:$A$2785)*$H$3:$H$2785&gt;H2349))+1</f>
        <v>45</v>
      </c>
    </row>
    <row r="2350" s="1" customFormat="true" customHeight="true" spans="1:10">
      <c r="A2350" s="4" t="str">
        <f t="shared" si="284"/>
        <v>033</v>
      </c>
      <c r="B2350" s="4" t="s">
        <v>45</v>
      </c>
      <c r="C2350" s="4" t="str">
        <f>"毛玲"</f>
        <v>毛玲</v>
      </c>
      <c r="D2350" s="4" t="str">
        <f>"2021023128"</f>
        <v>2021023128</v>
      </c>
      <c r="E2350" s="4" t="str">
        <f>"31"</f>
        <v>31</v>
      </c>
      <c r="F2350" s="4" t="str">
        <f>"28"</f>
        <v>28</v>
      </c>
      <c r="G2350" s="4" t="s">
        <v>27</v>
      </c>
      <c r="H2350" s="5">
        <v>55.9</v>
      </c>
      <c r="I2350" s="4"/>
      <c r="J2350" s="4">
        <f>SUMPRODUCT(--((A2350=$A$3:$A$2785)*$H$3:$H$2785&gt;H2350))+1</f>
        <v>46</v>
      </c>
    </row>
    <row r="2351" s="1" customFormat="true" customHeight="true" spans="1:10">
      <c r="A2351" s="4" t="str">
        <f t="shared" si="284"/>
        <v>033</v>
      </c>
      <c r="B2351" s="4" t="s">
        <v>45</v>
      </c>
      <c r="C2351" s="4" t="str">
        <f>"王芳"</f>
        <v>王芳</v>
      </c>
      <c r="D2351" s="4" t="str">
        <f>"2021022804"</f>
        <v>2021022804</v>
      </c>
      <c r="E2351" s="4" t="str">
        <f>"28"</f>
        <v>28</v>
      </c>
      <c r="F2351" s="4" t="str">
        <f>"04"</f>
        <v>04</v>
      </c>
      <c r="G2351" s="4" t="s">
        <v>27</v>
      </c>
      <c r="H2351" s="5">
        <v>55.88</v>
      </c>
      <c r="I2351" s="4"/>
      <c r="J2351" s="4">
        <f>SUMPRODUCT(--((A2351=$A$3:$A$2785)*$H$3:$H$2785&gt;H2351))+1</f>
        <v>47</v>
      </c>
    </row>
    <row r="2352" s="1" customFormat="true" customHeight="true" spans="1:10">
      <c r="A2352" s="4" t="str">
        <f t="shared" si="284"/>
        <v>033</v>
      </c>
      <c r="B2352" s="4" t="s">
        <v>45</v>
      </c>
      <c r="C2352" s="4" t="str">
        <f>"雷杨"</f>
        <v>雷杨</v>
      </c>
      <c r="D2352" s="4" t="str">
        <f>"2021022715"</f>
        <v>2021022715</v>
      </c>
      <c r="E2352" s="4" t="str">
        <f>"27"</f>
        <v>27</v>
      </c>
      <c r="F2352" s="4" t="str">
        <f>"15"</f>
        <v>15</v>
      </c>
      <c r="G2352" s="4" t="s">
        <v>27</v>
      </c>
      <c r="H2352" s="5">
        <v>55.84</v>
      </c>
      <c r="I2352" s="4"/>
      <c r="J2352" s="4">
        <f>SUMPRODUCT(--((A2352=$A$3:$A$2785)*$H$3:$H$2785&gt;H2352))+1</f>
        <v>48</v>
      </c>
    </row>
    <row r="2353" s="1" customFormat="true" customHeight="true" spans="1:10">
      <c r="A2353" s="4" t="str">
        <f t="shared" si="284"/>
        <v>033</v>
      </c>
      <c r="B2353" s="4" t="s">
        <v>45</v>
      </c>
      <c r="C2353" s="4" t="str">
        <f>"申杨吴琼"</f>
        <v>申杨吴琼</v>
      </c>
      <c r="D2353" s="4" t="str">
        <f>"2021023029"</f>
        <v>2021023029</v>
      </c>
      <c r="E2353" s="4" t="str">
        <f>"30"</f>
        <v>30</v>
      </c>
      <c r="F2353" s="4" t="str">
        <f>"29"</f>
        <v>29</v>
      </c>
      <c r="G2353" s="4" t="s">
        <v>27</v>
      </c>
      <c r="H2353" s="5">
        <v>55.76</v>
      </c>
      <c r="I2353" s="4"/>
      <c r="J2353" s="4">
        <f>SUMPRODUCT(--((A2353=$A$3:$A$2785)*$H$3:$H$2785&gt;H2353))+1</f>
        <v>49</v>
      </c>
    </row>
    <row r="2354" s="1" customFormat="true" customHeight="true" spans="1:10">
      <c r="A2354" s="4" t="str">
        <f t="shared" si="284"/>
        <v>033</v>
      </c>
      <c r="B2354" s="4" t="s">
        <v>45</v>
      </c>
      <c r="C2354" s="4" t="str">
        <f>"尹倩怡"</f>
        <v>尹倩怡</v>
      </c>
      <c r="D2354" s="4" t="str">
        <f>"2021023026"</f>
        <v>2021023026</v>
      </c>
      <c r="E2354" s="4" t="str">
        <f>"30"</f>
        <v>30</v>
      </c>
      <c r="F2354" s="4" t="str">
        <f>"26"</f>
        <v>26</v>
      </c>
      <c r="G2354" s="4" t="s">
        <v>27</v>
      </c>
      <c r="H2354" s="5">
        <v>55.72</v>
      </c>
      <c r="I2354" s="4"/>
      <c r="J2354" s="4">
        <f>SUMPRODUCT(--((A2354=$A$3:$A$2785)*$H$3:$H$2785&gt;H2354))+1</f>
        <v>50</v>
      </c>
    </row>
    <row r="2355" s="1" customFormat="true" customHeight="true" spans="1:10">
      <c r="A2355" s="4" t="str">
        <f t="shared" si="284"/>
        <v>033</v>
      </c>
      <c r="B2355" s="4" t="s">
        <v>45</v>
      </c>
      <c r="C2355" s="4" t="str">
        <f>"石坤"</f>
        <v>石坤</v>
      </c>
      <c r="D2355" s="4" t="str">
        <f>"2021023214"</f>
        <v>2021023214</v>
      </c>
      <c r="E2355" s="4" t="str">
        <f>"32"</f>
        <v>32</v>
      </c>
      <c r="F2355" s="4" t="str">
        <f>"14"</f>
        <v>14</v>
      </c>
      <c r="G2355" s="4" t="s">
        <v>27</v>
      </c>
      <c r="H2355" s="5">
        <v>55.64</v>
      </c>
      <c r="I2355" s="4"/>
      <c r="J2355" s="4">
        <f>SUMPRODUCT(--((A2355=$A$3:$A$2785)*$H$3:$H$2785&gt;H2355))+1</f>
        <v>51</v>
      </c>
    </row>
    <row r="2356" s="1" customFormat="true" customHeight="true" spans="1:10">
      <c r="A2356" s="4" t="str">
        <f t="shared" si="284"/>
        <v>033</v>
      </c>
      <c r="B2356" s="4" t="s">
        <v>45</v>
      </c>
      <c r="C2356" s="4" t="str">
        <f>"郑欣蕊"</f>
        <v>郑欣蕊</v>
      </c>
      <c r="D2356" s="4" t="str">
        <f>"2021022821"</f>
        <v>2021022821</v>
      </c>
      <c r="E2356" s="4" t="str">
        <f t="shared" ref="E2356:E2361" si="288">"28"</f>
        <v>28</v>
      </c>
      <c r="F2356" s="4" t="str">
        <f>"21"</f>
        <v>21</v>
      </c>
      <c r="G2356" s="4" t="s">
        <v>27</v>
      </c>
      <c r="H2356" s="5">
        <v>55.6</v>
      </c>
      <c r="I2356" s="4"/>
      <c r="J2356" s="4">
        <f>SUMPRODUCT(--((A2356=$A$3:$A$2785)*$H$3:$H$2785&gt;H2356))+1</f>
        <v>52</v>
      </c>
    </row>
    <row r="2357" s="1" customFormat="true" customHeight="true" spans="1:10">
      <c r="A2357" s="4" t="str">
        <f t="shared" si="284"/>
        <v>033</v>
      </c>
      <c r="B2357" s="4" t="s">
        <v>45</v>
      </c>
      <c r="C2357" s="4" t="str">
        <f>"杨惠"</f>
        <v>杨惠</v>
      </c>
      <c r="D2357" s="4" t="str">
        <f>"2021023414"</f>
        <v>2021023414</v>
      </c>
      <c r="E2357" s="4" t="str">
        <f>"34"</f>
        <v>34</v>
      </c>
      <c r="F2357" s="4" t="str">
        <f>"14"</f>
        <v>14</v>
      </c>
      <c r="G2357" s="4" t="s">
        <v>27</v>
      </c>
      <c r="H2357" s="5">
        <v>55.36</v>
      </c>
      <c r="I2357" s="4"/>
      <c r="J2357" s="4">
        <f>SUMPRODUCT(--((A2357=$A$3:$A$2785)*$H$3:$H$2785&gt;H2357))+1</f>
        <v>53</v>
      </c>
    </row>
    <row r="2358" s="1" customFormat="true" customHeight="true" spans="1:10">
      <c r="A2358" s="4" t="str">
        <f t="shared" si="284"/>
        <v>033</v>
      </c>
      <c r="B2358" s="4" t="s">
        <v>45</v>
      </c>
      <c r="C2358" s="4" t="str">
        <f>"聂琦"</f>
        <v>聂琦</v>
      </c>
      <c r="D2358" s="4" t="str">
        <f>"2021022819"</f>
        <v>2021022819</v>
      </c>
      <c r="E2358" s="4" t="str">
        <f t="shared" si="288"/>
        <v>28</v>
      </c>
      <c r="F2358" s="4" t="str">
        <f>"19"</f>
        <v>19</v>
      </c>
      <c r="G2358" s="4" t="s">
        <v>27</v>
      </c>
      <c r="H2358" s="5">
        <v>55.28</v>
      </c>
      <c r="I2358" s="4"/>
      <c r="J2358" s="4">
        <f>SUMPRODUCT(--((A2358=$A$3:$A$2785)*$H$3:$H$2785&gt;H2358))+1</f>
        <v>54</v>
      </c>
    </row>
    <row r="2359" s="1" customFormat="true" customHeight="true" spans="1:10">
      <c r="A2359" s="4" t="str">
        <f t="shared" si="284"/>
        <v>033</v>
      </c>
      <c r="B2359" s="4" t="s">
        <v>45</v>
      </c>
      <c r="C2359" s="4" t="str">
        <f>"朱娇娇"</f>
        <v>朱娇娇</v>
      </c>
      <c r="D2359" s="4" t="str">
        <f>"2021023201"</f>
        <v>2021023201</v>
      </c>
      <c r="E2359" s="4" t="str">
        <f>"32"</f>
        <v>32</v>
      </c>
      <c r="F2359" s="4" t="str">
        <f>"01"</f>
        <v>01</v>
      </c>
      <c r="G2359" s="4" t="s">
        <v>27</v>
      </c>
      <c r="H2359" s="5">
        <v>55.2</v>
      </c>
      <c r="I2359" s="4"/>
      <c r="J2359" s="4">
        <f>SUMPRODUCT(--((A2359=$A$3:$A$2785)*$H$3:$H$2785&gt;H2359))+1</f>
        <v>55</v>
      </c>
    </row>
    <row r="2360" s="1" customFormat="true" customHeight="true" spans="1:10">
      <c r="A2360" s="4" t="str">
        <f t="shared" si="284"/>
        <v>033</v>
      </c>
      <c r="B2360" s="4" t="s">
        <v>45</v>
      </c>
      <c r="C2360" s="4" t="str">
        <f>"肖梅慧"</f>
        <v>肖梅慧</v>
      </c>
      <c r="D2360" s="4" t="str">
        <f>"2021023406"</f>
        <v>2021023406</v>
      </c>
      <c r="E2360" s="4" t="str">
        <f>"34"</f>
        <v>34</v>
      </c>
      <c r="F2360" s="4" t="str">
        <f>"06"</f>
        <v>06</v>
      </c>
      <c r="G2360" s="4" t="s">
        <v>27</v>
      </c>
      <c r="H2360" s="5">
        <v>55.14</v>
      </c>
      <c r="I2360" s="4"/>
      <c r="J2360" s="4">
        <f>SUMPRODUCT(--((A2360=$A$3:$A$2785)*$H$3:$H$2785&gt;H2360))+1</f>
        <v>56</v>
      </c>
    </row>
    <row r="2361" s="1" customFormat="true" customHeight="true" spans="1:10">
      <c r="A2361" s="4" t="str">
        <f t="shared" si="284"/>
        <v>033</v>
      </c>
      <c r="B2361" s="4" t="s">
        <v>45</v>
      </c>
      <c r="C2361" s="4" t="str">
        <f>"邓永芳"</f>
        <v>邓永芳</v>
      </c>
      <c r="D2361" s="4" t="str">
        <f>"2021022803"</f>
        <v>2021022803</v>
      </c>
      <c r="E2361" s="4" t="str">
        <f t="shared" si="288"/>
        <v>28</v>
      </c>
      <c r="F2361" s="4" t="str">
        <f>"03"</f>
        <v>03</v>
      </c>
      <c r="G2361" s="4" t="s">
        <v>27</v>
      </c>
      <c r="H2361" s="5">
        <v>55.07</v>
      </c>
      <c r="I2361" s="4"/>
      <c r="J2361" s="4">
        <f>SUMPRODUCT(--((A2361=$A$3:$A$2785)*$H$3:$H$2785&gt;H2361))+1</f>
        <v>57</v>
      </c>
    </row>
    <row r="2362" s="1" customFormat="true" customHeight="true" spans="1:10">
      <c r="A2362" s="4" t="str">
        <f t="shared" si="284"/>
        <v>033</v>
      </c>
      <c r="B2362" s="4" t="s">
        <v>45</v>
      </c>
      <c r="C2362" s="4" t="str">
        <f>"石蓉"</f>
        <v>石蓉</v>
      </c>
      <c r="D2362" s="4" t="str">
        <f>"2021023203"</f>
        <v>2021023203</v>
      </c>
      <c r="E2362" s="4" t="str">
        <f>"32"</f>
        <v>32</v>
      </c>
      <c r="F2362" s="4" t="str">
        <f>"03"</f>
        <v>03</v>
      </c>
      <c r="G2362" s="4" t="s">
        <v>27</v>
      </c>
      <c r="H2362" s="5">
        <v>54.92</v>
      </c>
      <c r="I2362" s="4"/>
      <c r="J2362" s="4">
        <f>SUMPRODUCT(--((A2362=$A$3:$A$2785)*$H$3:$H$2785&gt;H2362))+1</f>
        <v>58</v>
      </c>
    </row>
    <row r="2363" s="1" customFormat="true" customHeight="true" spans="1:10">
      <c r="A2363" s="4" t="str">
        <f t="shared" si="284"/>
        <v>033</v>
      </c>
      <c r="B2363" s="4" t="s">
        <v>45</v>
      </c>
      <c r="C2363" s="4" t="str">
        <f>"杨清芳"</f>
        <v>杨清芳</v>
      </c>
      <c r="D2363" s="4" t="str">
        <f>"2021022726"</f>
        <v>2021022726</v>
      </c>
      <c r="E2363" s="4" t="str">
        <f>"27"</f>
        <v>27</v>
      </c>
      <c r="F2363" s="4" t="str">
        <f>"26"</f>
        <v>26</v>
      </c>
      <c r="G2363" s="4" t="s">
        <v>27</v>
      </c>
      <c r="H2363" s="5">
        <v>54.84</v>
      </c>
      <c r="I2363" s="4"/>
      <c r="J2363" s="4">
        <f>SUMPRODUCT(--((A2363=$A$3:$A$2785)*$H$3:$H$2785&gt;H2363))+1</f>
        <v>59</v>
      </c>
    </row>
    <row r="2364" s="1" customFormat="true" customHeight="true" spans="1:10">
      <c r="A2364" s="4" t="str">
        <f t="shared" si="284"/>
        <v>033</v>
      </c>
      <c r="B2364" s="4" t="s">
        <v>45</v>
      </c>
      <c r="C2364" s="4" t="str">
        <f>"滕媛媛"</f>
        <v>滕媛媛</v>
      </c>
      <c r="D2364" s="4" t="str">
        <f>"2021023304"</f>
        <v>2021023304</v>
      </c>
      <c r="E2364" s="4" t="str">
        <f>"33"</f>
        <v>33</v>
      </c>
      <c r="F2364" s="4" t="str">
        <f>"04"</f>
        <v>04</v>
      </c>
      <c r="G2364" s="4" t="s">
        <v>27</v>
      </c>
      <c r="H2364" s="5">
        <v>54.78</v>
      </c>
      <c r="I2364" s="4"/>
      <c r="J2364" s="4">
        <f>SUMPRODUCT(--((A2364=$A$3:$A$2785)*$H$3:$H$2785&gt;H2364))+1</f>
        <v>60</v>
      </c>
    </row>
    <row r="2365" s="1" customFormat="true" customHeight="true" spans="1:10">
      <c r="A2365" s="4" t="str">
        <f t="shared" si="284"/>
        <v>033</v>
      </c>
      <c r="B2365" s="4" t="s">
        <v>45</v>
      </c>
      <c r="C2365" s="4" t="str">
        <f>"杨恋"</f>
        <v>杨恋</v>
      </c>
      <c r="D2365" s="4" t="str">
        <f>"2021022710"</f>
        <v>2021022710</v>
      </c>
      <c r="E2365" s="4" t="str">
        <f>"27"</f>
        <v>27</v>
      </c>
      <c r="F2365" s="4" t="str">
        <f>"10"</f>
        <v>10</v>
      </c>
      <c r="G2365" s="4" t="s">
        <v>27</v>
      </c>
      <c r="H2365" s="5">
        <v>54.72</v>
      </c>
      <c r="I2365" s="4"/>
      <c r="J2365" s="4">
        <f>SUMPRODUCT(--((A2365=$A$3:$A$2785)*$H$3:$H$2785&gt;H2365))+1</f>
        <v>61</v>
      </c>
    </row>
    <row r="2366" s="1" customFormat="true" customHeight="true" spans="1:10">
      <c r="A2366" s="4" t="str">
        <f t="shared" si="284"/>
        <v>033</v>
      </c>
      <c r="B2366" s="4" t="s">
        <v>45</v>
      </c>
      <c r="C2366" s="4" t="str">
        <f>"时海燕"</f>
        <v>时海燕</v>
      </c>
      <c r="D2366" s="4" t="str">
        <f>"2021022807"</f>
        <v>2021022807</v>
      </c>
      <c r="E2366" s="4" t="str">
        <f>"28"</f>
        <v>28</v>
      </c>
      <c r="F2366" s="4" t="str">
        <f>"07"</f>
        <v>07</v>
      </c>
      <c r="G2366" s="4" t="s">
        <v>27</v>
      </c>
      <c r="H2366" s="5">
        <v>54.72</v>
      </c>
      <c r="I2366" s="4"/>
      <c r="J2366" s="4">
        <f>SUMPRODUCT(--((A2366=$A$3:$A$2785)*$H$3:$H$2785&gt;H2366))+1</f>
        <v>61</v>
      </c>
    </row>
    <row r="2367" s="1" customFormat="true" customHeight="true" spans="1:10">
      <c r="A2367" s="4" t="str">
        <f t="shared" si="284"/>
        <v>033</v>
      </c>
      <c r="B2367" s="4" t="s">
        <v>45</v>
      </c>
      <c r="C2367" s="4" t="str">
        <f>"米琼琼"</f>
        <v>米琼琼</v>
      </c>
      <c r="D2367" s="4" t="str">
        <f>"2021023413"</f>
        <v>2021023413</v>
      </c>
      <c r="E2367" s="4" t="str">
        <f>"34"</f>
        <v>34</v>
      </c>
      <c r="F2367" s="4" t="str">
        <f>"13"</f>
        <v>13</v>
      </c>
      <c r="G2367" s="4" t="s">
        <v>27</v>
      </c>
      <c r="H2367" s="5">
        <v>54.7</v>
      </c>
      <c r="I2367" s="4"/>
      <c r="J2367" s="4">
        <f>SUMPRODUCT(--((A2367=$A$3:$A$2785)*$H$3:$H$2785&gt;H2367))+1</f>
        <v>63</v>
      </c>
    </row>
    <row r="2368" s="1" customFormat="true" customHeight="true" spans="1:10">
      <c r="A2368" s="4" t="str">
        <f t="shared" si="284"/>
        <v>033</v>
      </c>
      <c r="B2368" s="4" t="s">
        <v>45</v>
      </c>
      <c r="C2368" s="4" t="str">
        <f>"蒋磊"</f>
        <v>蒋磊</v>
      </c>
      <c r="D2368" s="4" t="str">
        <f>"2021023028"</f>
        <v>2021023028</v>
      </c>
      <c r="E2368" s="4" t="str">
        <f t="shared" ref="E2368:E2373" si="289">"30"</f>
        <v>30</v>
      </c>
      <c r="F2368" s="4" t="str">
        <f>"28"</f>
        <v>28</v>
      </c>
      <c r="G2368" s="4" t="s">
        <v>27</v>
      </c>
      <c r="H2368" s="5">
        <v>54.24</v>
      </c>
      <c r="I2368" s="4"/>
      <c r="J2368" s="4">
        <f>SUMPRODUCT(--((A2368=$A$3:$A$2785)*$H$3:$H$2785&gt;H2368))+1</f>
        <v>64</v>
      </c>
    </row>
    <row r="2369" s="1" customFormat="true" customHeight="true" spans="1:10">
      <c r="A2369" s="4" t="str">
        <f t="shared" ref="A2369:A2432" si="290">"033"</f>
        <v>033</v>
      </c>
      <c r="B2369" s="4" t="s">
        <v>45</v>
      </c>
      <c r="C2369" s="4" t="str">
        <f>"杨荷英"</f>
        <v>杨荷英</v>
      </c>
      <c r="D2369" s="4" t="str">
        <f>"2021023216"</f>
        <v>2021023216</v>
      </c>
      <c r="E2369" s="4" t="str">
        <f>"32"</f>
        <v>32</v>
      </c>
      <c r="F2369" s="4" t="str">
        <f>"16"</f>
        <v>16</v>
      </c>
      <c r="G2369" s="4" t="s">
        <v>27</v>
      </c>
      <c r="H2369" s="5">
        <v>53.82</v>
      </c>
      <c r="I2369" s="4"/>
      <c r="J2369" s="4">
        <f>SUMPRODUCT(--((A2369=$A$3:$A$2785)*$H$3:$H$2785&gt;H2369))+1</f>
        <v>65</v>
      </c>
    </row>
    <row r="2370" s="1" customFormat="true" customHeight="true" spans="1:10">
      <c r="A2370" s="4" t="str">
        <f t="shared" si="290"/>
        <v>033</v>
      </c>
      <c r="B2370" s="4" t="s">
        <v>45</v>
      </c>
      <c r="C2370" s="4" t="str">
        <f>"王灵利"</f>
        <v>王灵利</v>
      </c>
      <c r="D2370" s="4" t="str">
        <f>"2021023002"</f>
        <v>2021023002</v>
      </c>
      <c r="E2370" s="4" t="str">
        <f t="shared" si="289"/>
        <v>30</v>
      </c>
      <c r="F2370" s="4" t="str">
        <f>"02"</f>
        <v>02</v>
      </c>
      <c r="G2370" s="4" t="s">
        <v>27</v>
      </c>
      <c r="H2370" s="5">
        <v>53.8</v>
      </c>
      <c r="I2370" s="4"/>
      <c r="J2370" s="4">
        <f>SUMPRODUCT(--((A2370=$A$3:$A$2785)*$H$3:$H$2785&gt;H2370))+1</f>
        <v>66</v>
      </c>
    </row>
    <row r="2371" s="1" customFormat="true" customHeight="true" spans="1:10">
      <c r="A2371" s="4" t="str">
        <f t="shared" si="290"/>
        <v>033</v>
      </c>
      <c r="B2371" s="4" t="s">
        <v>45</v>
      </c>
      <c r="C2371" s="4" t="str">
        <f>"吴玉芳"</f>
        <v>吴玉芳</v>
      </c>
      <c r="D2371" s="4" t="str">
        <f>"2021022724"</f>
        <v>2021022724</v>
      </c>
      <c r="E2371" s="4" t="str">
        <f>"27"</f>
        <v>27</v>
      </c>
      <c r="F2371" s="4" t="str">
        <f>"24"</f>
        <v>24</v>
      </c>
      <c r="G2371" s="4" t="s">
        <v>27</v>
      </c>
      <c r="H2371" s="5">
        <v>53.76</v>
      </c>
      <c r="I2371" s="4"/>
      <c r="J2371" s="4">
        <f>SUMPRODUCT(--((A2371=$A$3:$A$2785)*$H$3:$H$2785&gt;H2371))+1</f>
        <v>67</v>
      </c>
    </row>
    <row r="2372" s="1" customFormat="true" customHeight="true" spans="1:10">
      <c r="A2372" s="4" t="str">
        <f t="shared" si="290"/>
        <v>033</v>
      </c>
      <c r="B2372" s="4" t="s">
        <v>45</v>
      </c>
      <c r="C2372" s="4" t="str">
        <f>"陈潘裕"</f>
        <v>陈潘裕</v>
      </c>
      <c r="D2372" s="4" t="str">
        <f>"2021023101"</f>
        <v>2021023101</v>
      </c>
      <c r="E2372" s="4" t="str">
        <f>"31"</f>
        <v>31</v>
      </c>
      <c r="F2372" s="4" t="str">
        <f>"01"</f>
        <v>01</v>
      </c>
      <c r="G2372" s="4" t="s">
        <v>27</v>
      </c>
      <c r="H2372" s="5">
        <v>53.72</v>
      </c>
      <c r="I2372" s="4"/>
      <c r="J2372" s="4">
        <f>SUMPRODUCT(--((A2372=$A$3:$A$2785)*$H$3:$H$2785&gt;H2372))+1</f>
        <v>68</v>
      </c>
    </row>
    <row r="2373" s="1" customFormat="true" customHeight="true" spans="1:10">
      <c r="A2373" s="4" t="str">
        <f t="shared" si="290"/>
        <v>033</v>
      </c>
      <c r="B2373" s="4" t="s">
        <v>45</v>
      </c>
      <c r="C2373" s="4" t="str">
        <f>"谭玉婷"</f>
        <v>谭玉婷</v>
      </c>
      <c r="D2373" s="4" t="str">
        <f>"2021023008"</f>
        <v>2021023008</v>
      </c>
      <c r="E2373" s="4" t="str">
        <f t="shared" si="289"/>
        <v>30</v>
      </c>
      <c r="F2373" s="4" t="str">
        <f>"08"</f>
        <v>08</v>
      </c>
      <c r="G2373" s="4" t="s">
        <v>27</v>
      </c>
      <c r="H2373" s="5">
        <v>53.68</v>
      </c>
      <c r="I2373" s="4"/>
      <c r="J2373" s="4">
        <f>SUMPRODUCT(--((A2373=$A$3:$A$2785)*$H$3:$H$2785&gt;H2373))+1</f>
        <v>69</v>
      </c>
    </row>
    <row r="2374" s="1" customFormat="true" customHeight="true" spans="1:10">
      <c r="A2374" s="4" t="str">
        <f t="shared" si="290"/>
        <v>033</v>
      </c>
      <c r="B2374" s="4" t="s">
        <v>45</v>
      </c>
      <c r="C2374" s="4" t="str">
        <f>" 胡连田"</f>
        <v> 胡连田</v>
      </c>
      <c r="D2374" s="4" t="str">
        <f>"2021022817"</f>
        <v>2021022817</v>
      </c>
      <c r="E2374" s="4" t="str">
        <f>"28"</f>
        <v>28</v>
      </c>
      <c r="F2374" s="4" t="str">
        <f>"17"</f>
        <v>17</v>
      </c>
      <c r="G2374" s="4" t="s">
        <v>27</v>
      </c>
      <c r="H2374" s="5">
        <v>53.6</v>
      </c>
      <c r="I2374" s="4"/>
      <c r="J2374" s="4">
        <f>SUMPRODUCT(--((A2374=$A$3:$A$2785)*$H$3:$H$2785&gt;H2374))+1</f>
        <v>70</v>
      </c>
    </row>
    <row r="2375" s="1" customFormat="true" customHeight="true" spans="1:10">
      <c r="A2375" s="4" t="str">
        <f t="shared" si="290"/>
        <v>033</v>
      </c>
      <c r="B2375" s="4" t="s">
        <v>45</v>
      </c>
      <c r="C2375" s="4" t="str">
        <f>"段欢欢"</f>
        <v>段欢欢</v>
      </c>
      <c r="D2375" s="4" t="str">
        <f>"2021023310"</f>
        <v>2021023310</v>
      </c>
      <c r="E2375" s="4" t="str">
        <f>"33"</f>
        <v>33</v>
      </c>
      <c r="F2375" s="4" t="str">
        <f>"10"</f>
        <v>10</v>
      </c>
      <c r="G2375" s="4" t="s">
        <v>27</v>
      </c>
      <c r="H2375" s="5">
        <v>53.34</v>
      </c>
      <c r="I2375" s="4"/>
      <c r="J2375" s="4">
        <f>SUMPRODUCT(--((A2375=$A$3:$A$2785)*$H$3:$H$2785&gt;H2375))+1</f>
        <v>71</v>
      </c>
    </row>
    <row r="2376" s="1" customFormat="true" customHeight="true" spans="1:10">
      <c r="A2376" s="4" t="str">
        <f t="shared" si="290"/>
        <v>033</v>
      </c>
      <c r="B2376" s="4" t="s">
        <v>45</v>
      </c>
      <c r="C2376" s="4" t="str">
        <f>"曾兰淋"</f>
        <v>曾兰淋</v>
      </c>
      <c r="D2376" s="4" t="str">
        <f>"2021022917"</f>
        <v>2021022917</v>
      </c>
      <c r="E2376" s="4" t="str">
        <f>"29"</f>
        <v>29</v>
      </c>
      <c r="F2376" s="4" t="str">
        <f>"17"</f>
        <v>17</v>
      </c>
      <c r="G2376" s="4" t="s">
        <v>27</v>
      </c>
      <c r="H2376" s="5">
        <v>53.32</v>
      </c>
      <c r="I2376" s="4"/>
      <c r="J2376" s="4">
        <f>SUMPRODUCT(--((A2376=$A$3:$A$2785)*$H$3:$H$2785&gt;H2376))+1</f>
        <v>72</v>
      </c>
    </row>
    <row r="2377" s="1" customFormat="true" customHeight="true" spans="1:10">
      <c r="A2377" s="4" t="str">
        <f t="shared" si="290"/>
        <v>033</v>
      </c>
      <c r="B2377" s="4" t="s">
        <v>45</v>
      </c>
      <c r="C2377" s="4" t="str">
        <f>"罗涵铃"</f>
        <v>罗涵铃</v>
      </c>
      <c r="D2377" s="4" t="str">
        <f>"2021023110"</f>
        <v>2021023110</v>
      </c>
      <c r="E2377" s="4" t="str">
        <f>"31"</f>
        <v>31</v>
      </c>
      <c r="F2377" s="4" t="str">
        <f>"10"</f>
        <v>10</v>
      </c>
      <c r="G2377" s="4" t="s">
        <v>27</v>
      </c>
      <c r="H2377" s="5">
        <v>53.22</v>
      </c>
      <c r="I2377" s="4"/>
      <c r="J2377" s="4">
        <f>SUMPRODUCT(--((A2377=$A$3:$A$2785)*$H$3:$H$2785&gt;H2377))+1</f>
        <v>73</v>
      </c>
    </row>
    <row r="2378" s="1" customFormat="true" customHeight="true" spans="1:10">
      <c r="A2378" s="4" t="str">
        <f t="shared" si="290"/>
        <v>033</v>
      </c>
      <c r="B2378" s="4" t="s">
        <v>45</v>
      </c>
      <c r="C2378" s="4" t="str">
        <f>"彭丹"</f>
        <v>彭丹</v>
      </c>
      <c r="D2378" s="4" t="str">
        <f>"2021023206"</f>
        <v>2021023206</v>
      </c>
      <c r="E2378" s="4" t="str">
        <f>"32"</f>
        <v>32</v>
      </c>
      <c r="F2378" s="4" t="str">
        <f>"06"</f>
        <v>06</v>
      </c>
      <c r="G2378" s="4" t="s">
        <v>27</v>
      </c>
      <c r="H2378" s="5">
        <v>53.12</v>
      </c>
      <c r="I2378" s="4"/>
      <c r="J2378" s="4">
        <f>SUMPRODUCT(--((A2378=$A$3:$A$2785)*$H$3:$H$2785&gt;H2378))+1</f>
        <v>74</v>
      </c>
    </row>
    <row r="2379" s="1" customFormat="true" customHeight="true" spans="1:10">
      <c r="A2379" s="4" t="str">
        <f t="shared" si="290"/>
        <v>033</v>
      </c>
      <c r="B2379" s="4" t="s">
        <v>45</v>
      </c>
      <c r="C2379" s="4" t="str">
        <f>"张茜茜"</f>
        <v>张茜茜</v>
      </c>
      <c r="D2379" s="4" t="str">
        <f>"2021023412"</f>
        <v>2021023412</v>
      </c>
      <c r="E2379" s="4" t="str">
        <f>"34"</f>
        <v>34</v>
      </c>
      <c r="F2379" s="4" t="str">
        <f>"12"</f>
        <v>12</v>
      </c>
      <c r="G2379" s="4" t="s">
        <v>27</v>
      </c>
      <c r="H2379" s="5">
        <v>52.46</v>
      </c>
      <c r="I2379" s="4"/>
      <c r="J2379" s="4">
        <f>SUMPRODUCT(--((A2379=$A$3:$A$2785)*$H$3:$H$2785&gt;H2379))+1</f>
        <v>75</v>
      </c>
    </row>
    <row r="2380" s="1" customFormat="true" customHeight="true" spans="1:10">
      <c r="A2380" s="4" t="str">
        <f t="shared" si="290"/>
        <v>033</v>
      </c>
      <c r="B2380" s="4" t="s">
        <v>45</v>
      </c>
      <c r="C2380" s="4" t="str">
        <f>"唐莉智"</f>
        <v>唐莉智</v>
      </c>
      <c r="D2380" s="4" t="str">
        <f>"2021023303"</f>
        <v>2021023303</v>
      </c>
      <c r="E2380" s="4" t="str">
        <f>"33"</f>
        <v>33</v>
      </c>
      <c r="F2380" s="4" t="str">
        <f>"03"</f>
        <v>03</v>
      </c>
      <c r="G2380" s="4" t="s">
        <v>27</v>
      </c>
      <c r="H2380" s="5">
        <v>52.36</v>
      </c>
      <c r="I2380" s="4"/>
      <c r="J2380" s="4">
        <f>SUMPRODUCT(--((A2380=$A$3:$A$2785)*$H$3:$H$2785&gt;H2380))+1</f>
        <v>76</v>
      </c>
    </row>
    <row r="2381" s="1" customFormat="true" customHeight="true" spans="1:10">
      <c r="A2381" s="4" t="str">
        <f t="shared" si="290"/>
        <v>033</v>
      </c>
      <c r="B2381" s="4" t="s">
        <v>45</v>
      </c>
      <c r="C2381" s="4" t="str">
        <f>"田瑶"</f>
        <v>田瑶</v>
      </c>
      <c r="D2381" s="4" t="str">
        <f>"2021023017"</f>
        <v>2021023017</v>
      </c>
      <c r="E2381" s="4" t="str">
        <f>"30"</f>
        <v>30</v>
      </c>
      <c r="F2381" s="4" t="str">
        <f>"17"</f>
        <v>17</v>
      </c>
      <c r="G2381" s="4" t="s">
        <v>27</v>
      </c>
      <c r="H2381" s="5">
        <v>52.31</v>
      </c>
      <c r="I2381" s="4"/>
      <c r="J2381" s="4">
        <f>SUMPRODUCT(--((A2381=$A$3:$A$2785)*$H$3:$H$2785&gt;H2381))+1</f>
        <v>77</v>
      </c>
    </row>
    <row r="2382" s="1" customFormat="true" customHeight="true" spans="1:10">
      <c r="A2382" s="4" t="str">
        <f t="shared" si="290"/>
        <v>033</v>
      </c>
      <c r="B2382" s="4" t="s">
        <v>45</v>
      </c>
      <c r="C2382" s="4" t="str">
        <f>"梁子娟"</f>
        <v>梁子娟</v>
      </c>
      <c r="D2382" s="4" t="str">
        <f>"2021023117"</f>
        <v>2021023117</v>
      </c>
      <c r="E2382" s="4" t="str">
        <f>"31"</f>
        <v>31</v>
      </c>
      <c r="F2382" s="4" t="str">
        <f>"17"</f>
        <v>17</v>
      </c>
      <c r="G2382" s="4" t="s">
        <v>27</v>
      </c>
      <c r="H2382" s="5">
        <v>52.22</v>
      </c>
      <c r="I2382" s="4"/>
      <c r="J2382" s="4">
        <f>SUMPRODUCT(--((A2382=$A$3:$A$2785)*$H$3:$H$2785&gt;H2382))+1</f>
        <v>78</v>
      </c>
    </row>
    <row r="2383" s="1" customFormat="true" customHeight="true" spans="1:10">
      <c r="A2383" s="4" t="str">
        <f t="shared" si="290"/>
        <v>033</v>
      </c>
      <c r="B2383" s="4" t="s">
        <v>45</v>
      </c>
      <c r="C2383" s="4" t="str">
        <f>"彭雪"</f>
        <v>彭雪</v>
      </c>
      <c r="D2383" s="4" t="str">
        <f>"2021022820"</f>
        <v>2021022820</v>
      </c>
      <c r="E2383" s="4" t="str">
        <f>"28"</f>
        <v>28</v>
      </c>
      <c r="F2383" s="4" t="str">
        <f>"20"</f>
        <v>20</v>
      </c>
      <c r="G2383" s="4" t="s">
        <v>27</v>
      </c>
      <c r="H2383" s="5">
        <v>52.2</v>
      </c>
      <c r="I2383" s="4"/>
      <c r="J2383" s="4">
        <f>SUMPRODUCT(--((A2383=$A$3:$A$2785)*$H$3:$H$2785&gt;H2383))+1</f>
        <v>79</v>
      </c>
    </row>
    <row r="2384" s="1" customFormat="true" customHeight="true" spans="1:10">
      <c r="A2384" s="4" t="str">
        <f t="shared" si="290"/>
        <v>033</v>
      </c>
      <c r="B2384" s="4" t="s">
        <v>45</v>
      </c>
      <c r="C2384" s="4" t="str">
        <f>"姚雪琴"</f>
        <v>姚雪琴</v>
      </c>
      <c r="D2384" s="4" t="str">
        <f>"2021022829"</f>
        <v>2021022829</v>
      </c>
      <c r="E2384" s="4" t="str">
        <f>"28"</f>
        <v>28</v>
      </c>
      <c r="F2384" s="4" t="str">
        <f>"29"</f>
        <v>29</v>
      </c>
      <c r="G2384" s="4" t="s">
        <v>27</v>
      </c>
      <c r="H2384" s="5">
        <v>51.92</v>
      </c>
      <c r="I2384" s="4"/>
      <c r="J2384" s="4">
        <f>SUMPRODUCT(--((A2384=$A$3:$A$2785)*$H$3:$H$2785&gt;H2384))+1</f>
        <v>80</v>
      </c>
    </row>
    <row r="2385" s="1" customFormat="true" customHeight="true" spans="1:10">
      <c r="A2385" s="4" t="str">
        <f t="shared" si="290"/>
        <v>033</v>
      </c>
      <c r="B2385" s="4" t="s">
        <v>45</v>
      </c>
      <c r="C2385" s="4" t="str">
        <f>"雷艳枚"</f>
        <v>雷艳枚</v>
      </c>
      <c r="D2385" s="4" t="str">
        <f>"2021022910"</f>
        <v>2021022910</v>
      </c>
      <c r="E2385" s="4" t="str">
        <f>"29"</f>
        <v>29</v>
      </c>
      <c r="F2385" s="4" t="str">
        <f>"10"</f>
        <v>10</v>
      </c>
      <c r="G2385" s="4" t="s">
        <v>27</v>
      </c>
      <c r="H2385" s="5">
        <v>51.72</v>
      </c>
      <c r="I2385" s="4"/>
      <c r="J2385" s="4">
        <f>SUMPRODUCT(--((A2385=$A$3:$A$2785)*$H$3:$H$2785&gt;H2385))+1</f>
        <v>81</v>
      </c>
    </row>
    <row r="2386" s="1" customFormat="true" customHeight="true" spans="1:10">
      <c r="A2386" s="4" t="str">
        <f t="shared" si="290"/>
        <v>033</v>
      </c>
      <c r="B2386" s="4" t="s">
        <v>45</v>
      </c>
      <c r="C2386" s="4" t="str">
        <f>"易秋虹"</f>
        <v>易秋虹</v>
      </c>
      <c r="D2386" s="4" t="str">
        <f>"2021023125"</f>
        <v>2021023125</v>
      </c>
      <c r="E2386" s="4" t="str">
        <f>"31"</f>
        <v>31</v>
      </c>
      <c r="F2386" s="4" t="str">
        <f>"25"</f>
        <v>25</v>
      </c>
      <c r="G2386" s="4" t="s">
        <v>27</v>
      </c>
      <c r="H2386" s="5">
        <v>51.72</v>
      </c>
      <c r="I2386" s="4"/>
      <c r="J2386" s="4">
        <f>SUMPRODUCT(--((A2386=$A$3:$A$2785)*$H$3:$H$2785&gt;H2386))+1</f>
        <v>81</v>
      </c>
    </row>
    <row r="2387" s="1" customFormat="true" customHeight="true" spans="1:10">
      <c r="A2387" s="4" t="str">
        <f t="shared" si="290"/>
        <v>033</v>
      </c>
      <c r="B2387" s="4" t="s">
        <v>45</v>
      </c>
      <c r="C2387" s="4" t="str">
        <f>"杨柳青"</f>
        <v>杨柳青</v>
      </c>
      <c r="D2387" s="4" t="str">
        <f>"2021023015"</f>
        <v>2021023015</v>
      </c>
      <c r="E2387" s="4" t="str">
        <f>"30"</f>
        <v>30</v>
      </c>
      <c r="F2387" s="4" t="str">
        <f>"15"</f>
        <v>15</v>
      </c>
      <c r="G2387" s="4" t="s">
        <v>27</v>
      </c>
      <c r="H2387" s="5">
        <v>51.68</v>
      </c>
      <c r="I2387" s="4"/>
      <c r="J2387" s="4">
        <f>SUMPRODUCT(--((A2387=$A$3:$A$2785)*$H$3:$H$2785&gt;H2387))+1</f>
        <v>83</v>
      </c>
    </row>
    <row r="2388" s="1" customFormat="true" customHeight="true" spans="1:10">
      <c r="A2388" s="4" t="str">
        <f t="shared" si="290"/>
        <v>033</v>
      </c>
      <c r="B2388" s="4" t="s">
        <v>45</v>
      </c>
      <c r="C2388" s="4" t="str">
        <f>"舒玉"</f>
        <v>舒玉</v>
      </c>
      <c r="D2388" s="4" t="str">
        <f>"2021023211"</f>
        <v>2021023211</v>
      </c>
      <c r="E2388" s="4" t="str">
        <f>"32"</f>
        <v>32</v>
      </c>
      <c r="F2388" s="4" t="str">
        <f>"11"</f>
        <v>11</v>
      </c>
      <c r="G2388" s="4" t="s">
        <v>27</v>
      </c>
      <c r="H2388" s="5">
        <v>51.64</v>
      </c>
      <c r="I2388" s="4"/>
      <c r="J2388" s="4">
        <f>SUMPRODUCT(--((A2388=$A$3:$A$2785)*$H$3:$H$2785&gt;H2388))+1</f>
        <v>84</v>
      </c>
    </row>
    <row r="2389" s="1" customFormat="true" customHeight="true" spans="1:10">
      <c r="A2389" s="4" t="str">
        <f t="shared" si="290"/>
        <v>033</v>
      </c>
      <c r="B2389" s="4" t="s">
        <v>45</v>
      </c>
      <c r="C2389" s="4" t="str">
        <f>"毛薇"</f>
        <v>毛薇</v>
      </c>
      <c r="D2389" s="4" t="str">
        <f>"2021023324"</f>
        <v>2021023324</v>
      </c>
      <c r="E2389" s="4" t="str">
        <f>"33"</f>
        <v>33</v>
      </c>
      <c r="F2389" s="4" t="str">
        <f>"24"</f>
        <v>24</v>
      </c>
      <c r="G2389" s="4" t="s">
        <v>27</v>
      </c>
      <c r="H2389" s="5">
        <v>51.26</v>
      </c>
      <c r="I2389" s="4"/>
      <c r="J2389" s="4">
        <f>SUMPRODUCT(--((A2389=$A$3:$A$2785)*$H$3:$H$2785&gt;H2389))+1</f>
        <v>85</v>
      </c>
    </row>
    <row r="2390" s="1" customFormat="true" customHeight="true" spans="1:10">
      <c r="A2390" s="4" t="str">
        <f t="shared" si="290"/>
        <v>033</v>
      </c>
      <c r="B2390" s="4" t="s">
        <v>45</v>
      </c>
      <c r="C2390" s="4" t="str">
        <f>"张亚娟"</f>
        <v>张亚娟</v>
      </c>
      <c r="D2390" s="4" t="str">
        <f>"2021023027"</f>
        <v>2021023027</v>
      </c>
      <c r="E2390" s="4" t="str">
        <f>"30"</f>
        <v>30</v>
      </c>
      <c r="F2390" s="4" t="str">
        <f>"27"</f>
        <v>27</v>
      </c>
      <c r="G2390" s="4" t="s">
        <v>27</v>
      </c>
      <c r="H2390" s="5">
        <v>51.24</v>
      </c>
      <c r="I2390" s="4"/>
      <c r="J2390" s="4">
        <f>SUMPRODUCT(--((A2390=$A$3:$A$2785)*$H$3:$H$2785&gt;H2390))+1</f>
        <v>86</v>
      </c>
    </row>
    <row r="2391" s="1" customFormat="true" customHeight="true" spans="1:10">
      <c r="A2391" s="4" t="str">
        <f t="shared" si="290"/>
        <v>033</v>
      </c>
      <c r="B2391" s="4" t="s">
        <v>45</v>
      </c>
      <c r="C2391" s="4" t="str">
        <f>"刘薇薇"</f>
        <v>刘薇薇</v>
      </c>
      <c r="D2391" s="4" t="str">
        <f>"2021023207"</f>
        <v>2021023207</v>
      </c>
      <c r="E2391" s="4" t="str">
        <f>"32"</f>
        <v>32</v>
      </c>
      <c r="F2391" s="4" t="str">
        <f>"07"</f>
        <v>07</v>
      </c>
      <c r="G2391" s="4" t="s">
        <v>27</v>
      </c>
      <c r="H2391" s="5">
        <v>51.24</v>
      </c>
      <c r="I2391" s="4"/>
      <c r="J2391" s="4">
        <f>SUMPRODUCT(--((A2391=$A$3:$A$2785)*$H$3:$H$2785&gt;H2391))+1</f>
        <v>86</v>
      </c>
    </row>
    <row r="2392" s="1" customFormat="true" customHeight="true" spans="1:10">
      <c r="A2392" s="4" t="str">
        <f t="shared" si="290"/>
        <v>033</v>
      </c>
      <c r="B2392" s="4" t="s">
        <v>45</v>
      </c>
      <c r="C2392" s="4" t="str">
        <f>"杨瑜"</f>
        <v>杨瑜</v>
      </c>
      <c r="D2392" s="4" t="str">
        <f>"2021023104"</f>
        <v>2021023104</v>
      </c>
      <c r="E2392" s="4" t="str">
        <f>"31"</f>
        <v>31</v>
      </c>
      <c r="F2392" s="4" t="str">
        <f>"04"</f>
        <v>04</v>
      </c>
      <c r="G2392" s="4" t="s">
        <v>27</v>
      </c>
      <c r="H2392" s="5">
        <v>50.97</v>
      </c>
      <c r="I2392" s="4"/>
      <c r="J2392" s="4">
        <f>SUMPRODUCT(--((A2392=$A$3:$A$2785)*$H$3:$H$2785&gt;H2392))+1</f>
        <v>88</v>
      </c>
    </row>
    <row r="2393" s="1" customFormat="true" customHeight="true" spans="1:10">
      <c r="A2393" s="4" t="str">
        <f t="shared" si="290"/>
        <v>033</v>
      </c>
      <c r="B2393" s="4" t="s">
        <v>45</v>
      </c>
      <c r="C2393" s="4" t="str">
        <f>"喻璐"</f>
        <v>喻璐</v>
      </c>
      <c r="D2393" s="4" t="str">
        <f>"2021022918"</f>
        <v>2021022918</v>
      </c>
      <c r="E2393" s="4" t="str">
        <f>"29"</f>
        <v>29</v>
      </c>
      <c r="F2393" s="4" t="str">
        <f>"18"</f>
        <v>18</v>
      </c>
      <c r="G2393" s="4" t="s">
        <v>27</v>
      </c>
      <c r="H2393" s="5">
        <v>50.88</v>
      </c>
      <c r="I2393" s="4"/>
      <c r="J2393" s="4">
        <f>SUMPRODUCT(--((A2393=$A$3:$A$2785)*$H$3:$H$2785&gt;H2393))+1</f>
        <v>89</v>
      </c>
    </row>
    <row r="2394" s="1" customFormat="true" customHeight="true" spans="1:10">
      <c r="A2394" s="4" t="str">
        <f t="shared" si="290"/>
        <v>033</v>
      </c>
      <c r="B2394" s="4" t="s">
        <v>45</v>
      </c>
      <c r="C2394" s="4" t="str">
        <f>"肖鑫"</f>
        <v>肖鑫</v>
      </c>
      <c r="D2394" s="4" t="str">
        <f>"2021023020"</f>
        <v>2021023020</v>
      </c>
      <c r="E2394" s="4" t="str">
        <f>"30"</f>
        <v>30</v>
      </c>
      <c r="F2394" s="4" t="str">
        <f>"20"</f>
        <v>20</v>
      </c>
      <c r="G2394" s="4" t="s">
        <v>27</v>
      </c>
      <c r="H2394" s="5">
        <v>50.8</v>
      </c>
      <c r="I2394" s="4"/>
      <c r="J2394" s="4">
        <f>SUMPRODUCT(--((A2394=$A$3:$A$2785)*$H$3:$H$2785&gt;H2394))+1</f>
        <v>90</v>
      </c>
    </row>
    <row r="2395" s="1" customFormat="true" customHeight="true" spans="1:10">
      <c r="A2395" s="4" t="str">
        <f t="shared" si="290"/>
        <v>033</v>
      </c>
      <c r="B2395" s="4" t="s">
        <v>45</v>
      </c>
      <c r="C2395" s="4" t="str">
        <f>"徐子媛"</f>
        <v>徐子媛</v>
      </c>
      <c r="D2395" s="4" t="str">
        <f>"2021023302"</f>
        <v>2021023302</v>
      </c>
      <c r="E2395" s="4" t="str">
        <f t="shared" ref="E2395:E2400" si="291">"33"</f>
        <v>33</v>
      </c>
      <c r="F2395" s="4" t="str">
        <f>"02"</f>
        <v>02</v>
      </c>
      <c r="G2395" s="4" t="s">
        <v>27</v>
      </c>
      <c r="H2395" s="5">
        <v>50.76</v>
      </c>
      <c r="I2395" s="4"/>
      <c r="J2395" s="4">
        <f>SUMPRODUCT(--((A2395=$A$3:$A$2785)*$H$3:$H$2785&gt;H2395))+1</f>
        <v>91</v>
      </c>
    </row>
    <row r="2396" s="1" customFormat="true" customHeight="true" spans="1:10">
      <c r="A2396" s="4" t="str">
        <f t="shared" si="290"/>
        <v>033</v>
      </c>
      <c r="B2396" s="4" t="s">
        <v>45</v>
      </c>
      <c r="C2396" s="4" t="str">
        <f>"罗四妹"</f>
        <v>罗四妹</v>
      </c>
      <c r="D2396" s="4" t="str">
        <f>"2021023202"</f>
        <v>2021023202</v>
      </c>
      <c r="E2396" s="4" t="str">
        <f>"32"</f>
        <v>32</v>
      </c>
      <c r="F2396" s="4" t="str">
        <f>"02"</f>
        <v>02</v>
      </c>
      <c r="G2396" s="4" t="s">
        <v>27</v>
      </c>
      <c r="H2396" s="5">
        <v>50.68</v>
      </c>
      <c r="I2396" s="4"/>
      <c r="J2396" s="4">
        <f>SUMPRODUCT(--((A2396=$A$3:$A$2785)*$H$3:$H$2785&gt;H2396))+1</f>
        <v>92</v>
      </c>
    </row>
    <row r="2397" s="1" customFormat="true" customHeight="true" spans="1:10">
      <c r="A2397" s="4" t="str">
        <f t="shared" si="290"/>
        <v>033</v>
      </c>
      <c r="B2397" s="4" t="s">
        <v>45</v>
      </c>
      <c r="C2397" s="4" t="str">
        <f>"曾思嘉"</f>
        <v>曾思嘉</v>
      </c>
      <c r="D2397" s="4" t="str">
        <f>"2021023323"</f>
        <v>2021023323</v>
      </c>
      <c r="E2397" s="4" t="str">
        <f t="shared" si="291"/>
        <v>33</v>
      </c>
      <c r="F2397" s="4" t="str">
        <f>"23"</f>
        <v>23</v>
      </c>
      <c r="G2397" s="4" t="s">
        <v>27</v>
      </c>
      <c r="H2397" s="5">
        <v>50.34</v>
      </c>
      <c r="I2397" s="4"/>
      <c r="J2397" s="4">
        <f>SUMPRODUCT(--((A2397=$A$3:$A$2785)*$H$3:$H$2785&gt;H2397))+1</f>
        <v>93</v>
      </c>
    </row>
    <row r="2398" s="1" customFormat="true" customHeight="true" spans="1:10">
      <c r="A2398" s="4" t="str">
        <f t="shared" si="290"/>
        <v>033</v>
      </c>
      <c r="B2398" s="4" t="s">
        <v>45</v>
      </c>
      <c r="C2398" s="4" t="str">
        <f>"杨钰"</f>
        <v>杨钰</v>
      </c>
      <c r="D2398" s="4" t="str">
        <f>"2021022720"</f>
        <v>2021022720</v>
      </c>
      <c r="E2398" s="4" t="str">
        <f>"27"</f>
        <v>27</v>
      </c>
      <c r="F2398" s="4" t="str">
        <f>"20"</f>
        <v>20</v>
      </c>
      <c r="G2398" s="4" t="s">
        <v>27</v>
      </c>
      <c r="H2398" s="5">
        <v>50.2</v>
      </c>
      <c r="I2398" s="4"/>
      <c r="J2398" s="4">
        <f>SUMPRODUCT(--((A2398=$A$3:$A$2785)*$H$3:$H$2785&gt;H2398))+1</f>
        <v>94</v>
      </c>
    </row>
    <row r="2399" s="1" customFormat="true" customHeight="true" spans="1:10">
      <c r="A2399" s="4" t="str">
        <f t="shared" si="290"/>
        <v>033</v>
      </c>
      <c r="B2399" s="4" t="s">
        <v>45</v>
      </c>
      <c r="C2399" s="4" t="str">
        <f>"冉晓蓉"</f>
        <v>冉晓蓉</v>
      </c>
      <c r="D2399" s="4" t="str">
        <f>"2021022828"</f>
        <v>2021022828</v>
      </c>
      <c r="E2399" s="4" t="str">
        <f>"28"</f>
        <v>28</v>
      </c>
      <c r="F2399" s="4" t="str">
        <f>"28"</f>
        <v>28</v>
      </c>
      <c r="G2399" s="4" t="s">
        <v>27</v>
      </c>
      <c r="H2399" s="5">
        <v>50.18</v>
      </c>
      <c r="I2399" s="4"/>
      <c r="J2399" s="4">
        <f>SUMPRODUCT(--((A2399=$A$3:$A$2785)*$H$3:$H$2785&gt;H2399))+1</f>
        <v>95</v>
      </c>
    </row>
    <row r="2400" s="1" customFormat="true" customHeight="true" spans="1:10">
      <c r="A2400" s="4" t="str">
        <f t="shared" si="290"/>
        <v>033</v>
      </c>
      <c r="B2400" s="4" t="s">
        <v>45</v>
      </c>
      <c r="C2400" s="4" t="str">
        <f>"刘方园"</f>
        <v>刘方园</v>
      </c>
      <c r="D2400" s="4" t="str">
        <f>"2021023318"</f>
        <v>2021023318</v>
      </c>
      <c r="E2400" s="4" t="str">
        <f t="shared" si="291"/>
        <v>33</v>
      </c>
      <c r="F2400" s="4" t="str">
        <f>"18"</f>
        <v>18</v>
      </c>
      <c r="G2400" s="4" t="s">
        <v>27</v>
      </c>
      <c r="H2400" s="5">
        <v>50.14</v>
      </c>
      <c r="I2400" s="4"/>
      <c r="J2400" s="4">
        <f>SUMPRODUCT(--((A2400=$A$3:$A$2785)*$H$3:$H$2785&gt;H2400))+1</f>
        <v>96</v>
      </c>
    </row>
    <row r="2401" s="1" customFormat="true" customHeight="true" spans="1:10">
      <c r="A2401" s="4" t="str">
        <f t="shared" si="290"/>
        <v>033</v>
      </c>
      <c r="B2401" s="4" t="s">
        <v>45</v>
      </c>
      <c r="C2401" s="4" t="str">
        <f>"杨幸"</f>
        <v>杨幸</v>
      </c>
      <c r="D2401" s="4" t="str">
        <f>"2021022922"</f>
        <v>2021022922</v>
      </c>
      <c r="E2401" s="4" t="str">
        <f>"29"</f>
        <v>29</v>
      </c>
      <c r="F2401" s="4" t="str">
        <f>"22"</f>
        <v>22</v>
      </c>
      <c r="G2401" s="4" t="s">
        <v>27</v>
      </c>
      <c r="H2401" s="5">
        <v>49.8</v>
      </c>
      <c r="I2401" s="4"/>
      <c r="J2401" s="4">
        <f>SUMPRODUCT(--((A2401=$A$3:$A$2785)*$H$3:$H$2785&gt;H2401))+1</f>
        <v>97</v>
      </c>
    </row>
    <row r="2402" s="1" customFormat="true" customHeight="true" spans="1:10">
      <c r="A2402" s="4" t="str">
        <f t="shared" si="290"/>
        <v>033</v>
      </c>
      <c r="B2402" s="4" t="s">
        <v>45</v>
      </c>
      <c r="C2402" s="4" t="str">
        <f>"曾瑶"</f>
        <v>曾瑶</v>
      </c>
      <c r="D2402" s="4" t="str">
        <f>"2021023111"</f>
        <v>2021023111</v>
      </c>
      <c r="E2402" s="4" t="str">
        <f>"31"</f>
        <v>31</v>
      </c>
      <c r="F2402" s="4" t="str">
        <f>"11"</f>
        <v>11</v>
      </c>
      <c r="G2402" s="4" t="s">
        <v>27</v>
      </c>
      <c r="H2402" s="5">
        <v>49.64</v>
      </c>
      <c r="I2402" s="4"/>
      <c r="J2402" s="4">
        <f>SUMPRODUCT(--((A2402=$A$3:$A$2785)*$H$3:$H$2785&gt;H2402))+1</f>
        <v>98</v>
      </c>
    </row>
    <row r="2403" s="1" customFormat="true" ht="16.5" customHeight="true" spans="1:10">
      <c r="A2403" s="4" t="str">
        <f t="shared" si="290"/>
        <v>033</v>
      </c>
      <c r="B2403" s="4" t="s">
        <v>45</v>
      </c>
      <c r="C2403" s="4" t="str">
        <f>"张玲 "</f>
        <v>张玲 </v>
      </c>
      <c r="D2403" s="4" t="str">
        <f>"2021023030"</f>
        <v>2021023030</v>
      </c>
      <c r="E2403" s="4" t="str">
        <f>"30"</f>
        <v>30</v>
      </c>
      <c r="F2403" s="4" t="str">
        <f>"30"</f>
        <v>30</v>
      </c>
      <c r="G2403" s="4" t="s">
        <v>27</v>
      </c>
      <c r="H2403" s="5">
        <v>49.6</v>
      </c>
      <c r="I2403" s="4"/>
      <c r="J2403" s="4">
        <f>SUMPRODUCT(--((A2403=$A$3:$A$2785)*$H$3:$H$2785&gt;H2403))+1</f>
        <v>99</v>
      </c>
    </row>
    <row r="2404" s="1" customFormat="true" customHeight="true" spans="1:10">
      <c r="A2404" s="4" t="str">
        <f t="shared" si="290"/>
        <v>033</v>
      </c>
      <c r="B2404" s="4" t="s">
        <v>45</v>
      </c>
      <c r="C2404" s="4" t="str">
        <f>"吴柳林"</f>
        <v>吴柳林</v>
      </c>
      <c r="D2404" s="4" t="str">
        <f>"2021022901"</f>
        <v>2021022901</v>
      </c>
      <c r="E2404" s="4" t="str">
        <f>"29"</f>
        <v>29</v>
      </c>
      <c r="F2404" s="4" t="str">
        <f>"01"</f>
        <v>01</v>
      </c>
      <c r="G2404" s="4" t="s">
        <v>27</v>
      </c>
      <c r="H2404" s="5">
        <v>49.47</v>
      </c>
      <c r="I2404" s="4"/>
      <c r="J2404" s="4">
        <f>SUMPRODUCT(--((A2404=$A$3:$A$2785)*$H$3:$H$2785&gt;H2404))+1</f>
        <v>100</v>
      </c>
    </row>
    <row r="2405" s="1" customFormat="true" customHeight="true" spans="1:10">
      <c r="A2405" s="4" t="str">
        <f t="shared" si="290"/>
        <v>033</v>
      </c>
      <c r="B2405" s="4" t="s">
        <v>45</v>
      </c>
      <c r="C2405" s="4" t="str">
        <f>"邓霞"</f>
        <v>邓霞</v>
      </c>
      <c r="D2405" s="4" t="str">
        <f>"2021022823"</f>
        <v>2021022823</v>
      </c>
      <c r="E2405" s="4" t="str">
        <f t="shared" ref="E2405:E2407" si="292">"28"</f>
        <v>28</v>
      </c>
      <c r="F2405" s="4" t="str">
        <f>"23"</f>
        <v>23</v>
      </c>
      <c r="G2405" s="4" t="s">
        <v>27</v>
      </c>
      <c r="H2405" s="5">
        <v>49.4</v>
      </c>
      <c r="I2405" s="4"/>
      <c r="J2405" s="4">
        <f>SUMPRODUCT(--((A2405=$A$3:$A$2785)*$H$3:$H$2785&gt;H2405))+1</f>
        <v>101</v>
      </c>
    </row>
    <row r="2406" s="1" customFormat="true" customHeight="true" spans="1:10">
      <c r="A2406" s="4" t="str">
        <f t="shared" si="290"/>
        <v>033</v>
      </c>
      <c r="B2406" s="4" t="s">
        <v>45</v>
      </c>
      <c r="C2406" s="4" t="str">
        <f>"石杭鑫"</f>
        <v>石杭鑫</v>
      </c>
      <c r="D2406" s="4" t="str">
        <f>"2021022822"</f>
        <v>2021022822</v>
      </c>
      <c r="E2406" s="4" t="str">
        <f t="shared" si="292"/>
        <v>28</v>
      </c>
      <c r="F2406" s="4" t="str">
        <f>"22"</f>
        <v>22</v>
      </c>
      <c r="G2406" s="4" t="s">
        <v>27</v>
      </c>
      <c r="H2406" s="5">
        <v>49.28</v>
      </c>
      <c r="I2406" s="4"/>
      <c r="J2406" s="4">
        <f>SUMPRODUCT(--((A2406=$A$3:$A$2785)*$H$3:$H$2785&gt;H2406))+1</f>
        <v>102</v>
      </c>
    </row>
    <row r="2407" s="1" customFormat="true" customHeight="true" spans="1:10">
      <c r="A2407" s="4" t="str">
        <f t="shared" si="290"/>
        <v>033</v>
      </c>
      <c r="B2407" s="4" t="s">
        <v>45</v>
      </c>
      <c r="C2407" s="4" t="str">
        <f>"潘晨"</f>
        <v>潘晨</v>
      </c>
      <c r="D2407" s="4" t="str">
        <f>"2021022801"</f>
        <v>2021022801</v>
      </c>
      <c r="E2407" s="4" t="str">
        <f t="shared" si="292"/>
        <v>28</v>
      </c>
      <c r="F2407" s="4" t="str">
        <f>"01"</f>
        <v>01</v>
      </c>
      <c r="G2407" s="4" t="s">
        <v>27</v>
      </c>
      <c r="H2407" s="5">
        <v>49.12</v>
      </c>
      <c r="I2407" s="4"/>
      <c r="J2407" s="4">
        <f>SUMPRODUCT(--((A2407=$A$3:$A$2785)*$H$3:$H$2785&gt;H2407))+1</f>
        <v>103</v>
      </c>
    </row>
    <row r="2408" s="1" customFormat="true" customHeight="true" spans="1:10">
      <c r="A2408" s="4" t="str">
        <f t="shared" si="290"/>
        <v>033</v>
      </c>
      <c r="B2408" s="4" t="s">
        <v>45</v>
      </c>
      <c r="C2408" s="4" t="str">
        <f>"李慧"</f>
        <v>李慧</v>
      </c>
      <c r="D2408" s="4" t="str">
        <f>"2021022923"</f>
        <v>2021022923</v>
      </c>
      <c r="E2408" s="4" t="str">
        <f>"29"</f>
        <v>29</v>
      </c>
      <c r="F2408" s="4" t="str">
        <f>"23"</f>
        <v>23</v>
      </c>
      <c r="G2408" s="4" t="s">
        <v>27</v>
      </c>
      <c r="H2408" s="5">
        <v>48.88</v>
      </c>
      <c r="I2408" s="4"/>
      <c r="J2408" s="4">
        <f>SUMPRODUCT(--((A2408=$A$3:$A$2785)*$H$3:$H$2785&gt;H2408))+1</f>
        <v>104</v>
      </c>
    </row>
    <row r="2409" s="1" customFormat="true" customHeight="true" spans="1:10">
      <c r="A2409" s="4" t="str">
        <f t="shared" si="290"/>
        <v>033</v>
      </c>
      <c r="B2409" s="4" t="s">
        <v>45</v>
      </c>
      <c r="C2409" s="4" t="str">
        <f>"张娅琼"</f>
        <v>张娅琼</v>
      </c>
      <c r="D2409" s="4" t="str">
        <f>"2021023402"</f>
        <v>2021023402</v>
      </c>
      <c r="E2409" s="4" t="str">
        <f>"34"</f>
        <v>34</v>
      </c>
      <c r="F2409" s="4" t="str">
        <f>"02"</f>
        <v>02</v>
      </c>
      <c r="G2409" s="4" t="s">
        <v>27</v>
      </c>
      <c r="H2409" s="5">
        <v>48.74</v>
      </c>
      <c r="I2409" s="4"/>
      <c r="J2409" s="4">
        <f>SUMPRODUCT(--((A2409=$A$3:$A$2785)*$H$3:$H$2785&gt;H2409))+1</f>
        <v>105</v>
      </c>
    </row>
    <row r="2410" s="1" customFormat="true" customHeight="true" spans="1:10">
      <c r="A2410" s="4" t="str">
        <f t="shared" si="290"/>
        <v>033</v>
      </c>
      <c r="B2410" s="4" t="s">
        <v>45</v>
      </c>
      <c r="C2410" s="4" t="str">
        <f>"孙韵洁"</f>
        <v>孙韵洁</v>
      </c>
      <c r="D2410" s="4" t="str">
        <f>"2021022825"</f>
        <v>2021022825</v>
      </c>
      <c r="E2410" s="4" t="str">
        <f>"28"</f>
        <v>28</v>
      </c>
      <c r="F2410" s="4" t="str">
        <f>"25"</f>
        <v>25</v>
      </c>
      <c r="G2410" s="4" t="s">
        <v>27</v>
      </c>
      <c r="H2410" s="5">
        <v>48.7</v>
      </c>
      <c r="I2410" s="4"/>
      <c r="J2410" s="4">
        <f>SUMPRODUCT(--((A2410=$A$3:$A$2785)*$H$3:$H$2785&gt;H2410))+1</f>
        <v>106</v>
      </c>
    </row>
    <row r="2411" s="1" customFormat="true" customHeight="true" spans="1:10">
      <c r="A2411" s="4" t="str">
        <f t="shared" si="290"/>
        <v>033</v>
      </c>
      <c r="B2411" s="4" t="s">
        <v>45</v>
      </c>
      <c r="C2411" s="4" t="str">
        <f>"田云惠"</f>
        <v>田云惠</v>
      </c>
      <c r="D2411" s="4" t="str">
        <f>"2021022903"</f>
        <v>2021022903</v>
      </c>
      <c r="E2411" s="4" t="str">
        <f>"29"</f>
        <v>29</v>
      </c>
      <c r="F2411" s="4" t="str">
        <f>"03"</f>
        <v>03</v>
      </c>
      <c r="G2411" s="4" t="s">
        <v>27</v>
      </c>
      <c r="H2411" s="5">
        <v>48.7</v>
      </c>
      <c r="I2411" s="4"/>
      <c r="J2411" s="4">
        <f>SUMPRODUCT(--((A2411=$A$3:$A$2785)*$H$3:$H$2785&gt;H2411))+1</f>
        <v>106</v>
      </c>
    </row>
    <row r="2412" s="1" customFormat="true" customHeight="true" spans="1:10">
      <c r="A2412" s="4" t="str">
        <f t="shared" si="290"/>
        <v>033</v>
      </c>
      <c r="B2412" s="4" t="s">
        <v>45</v>
      </c>
      <c r="C2412" s="4" t="str">
        <f>"滕芳慧"</f>
        <v>滕芳慧</v>
      </c>
      <c r="D2412" s="4" t="str">
        <f>"2021023018"</f>
        <v>2021023018</v>
      </c>
      <c r="E2412" s="4" t="str">
        <f>"30"</f>
        <v>30</v>
      </c>
      <c r="F2412" s="4" t="str">
        <f>"18"</f>
        <v>18</v>
      </c>
      <c r="G2412" s="4" t="s">
        <v>27</v>
      </c>
      <c r="H2412" s="5">
        <v>48.32</v>
      </c>
      <c r="I2412" s="4"/>
      <c r="J2412" s="4">
        <f>SUMPRODUCT(--((A2412=$A$3:$A$2785)*$H$3:$H$2785&gt;H2412))+1</f>
        <v>108</v>
      </c>
    </row>
    <row r="2413" s="1" customFormat="true" customHeight="true" spans="1:10">
      <c r="A2413" s="4" t="str">
        <f t="shared" si="290"/>
        <v>033</v>
      </c>
      <c r="B2413" s="4" t="s">
        <v>45</v>
      </c>
      <c r="C2413" s="4" t="str">
        <f>"龙静"</f>
        <v>龙静</v>
      </c>
      <c r="D2413" s="4" t="str">
        <f>"2021022805"</f>
        <v>2021022805</v>
      </c>
      <c r="E2413" s="4" t="str">
        <f>"28"</f>
        <v>28</v>
      </c>
      <c r="F2413" s="4" t="str">
        <f>"05"</f>
        <v>05</v>
      </c>
      <c r="G2413" s="4" t="s">
        <v>27</v>
      </c>
      <c r="H2413" s="5">
        <v>48.26</v>
      </c>
      <c r="I2413" s="4"/>
      <c r="J2413" s="4">
        <f>SUMPRODUCT(--((A2413=$A$3:$A$2785)*$H$3:$H$2785&gt;H2413))+1</f>
        <v>109</v>
      </c>
    </row>
    <row r="2414" s="1" customFormat="true" customHeight="true" spans="1:10">
      <c r="A2414" s="4" t="str">
        <f t="shared" si="290"/>
        <v>033</v>
      </c>
      <c r="B2414" s="4" t="s">
        <v>45</v>
      </c>
      <c r="C2414" s="4" t="str">
        <f>"刘淑梅"</f>
        <v>刘淑梅</v>
      </c>
      <c r="D2414" s="4" t="str">
        <f>"2021023408"</f>
        <v>2021023408</v>
      </c>
      <c r="E2414" s="4" t="str">
        <f>"34"</f>
        <v>34</v>
      </c>
      <c r="F2414" s="4" t="str">
        <f t="shared" ref="F2414:F2417" si="293">"08"</f>
        <v>08</v>
      </c>
      <c r="G2414" s="4" t="s">
        <v>27</v>
      </c>
      <c r="H2414" s="5">
        <v>48.2</v>
      </c>
      <c r="I2414" s="4"/>
      <c r="J2414" s="4">
        <f>SUMPRODUCT(--((A2414=$A$3:$A$2785)*$H$3:$H$2785&gt;H2414))+1</f>
        <v>110</v>
      </c>
    </row>
    <row r="2415" s="1" customFormat="true" customHeight="true" spans="1:10">
      <c r="A2415" s="4" t="str">
        <f t="shared" si="290"/>
        <v>033</v>
      </c>
      <c r="B2415" s="4" t="s">
        <v>45</v>
      </c>
      <c r="C2415" s="4" t="str">
        <f>"舒琳"</f>
        <v>舒琳</v>
      </c>
      <c r="D2415" s="4" t="str">
        <f>"2021023403"</f>
        <v>2021023403</v>
      </c>
      <c r="E2415" s="4" t="str">
        <f>"34"</f>
        <v>34</v>
      </c>
      <c r="F2415" s="4" t="str">
        <f>"03"</f>
        <v>03</v>
      </c>
      <c r="G2415" s="4" t="s">
        <v>27</v>
      </c>
      <c r="H2415" s="5">
        <v>47.86</v>
      </c>
      <c r="I2415" s="4"/>
      <c r="J2415" s="4">
        <f>SUMPRODUCT(--((A2415=$A$3:$A$2785)*$H$3:$H$2785&gt;H2415))+1</f>
        <v>111</v>
      </c>
    </row>
    <row r="2416" s="1" customFormat="true" customHeight="true" spans="1:10">
      <c r="A2416" s="4" t="str">
        <f t="shared" si="290"/>
        <v>033</v>
      </c>
      <c r="B2416" s="4" t="s">
        <v>45</v>
      </c>
      <c r="C2416" s="4" t="str">
        <f>"胡芸巧"</f>
        <v>胡芸巧</v>
      </c>
      <c r="D2416" s="4" t="str">
        <f>"2021022808"</f>
        <v>2021022808</v>
      </c>
      <c r="E2416" s="4" t="str">
        <f>"28"</f>
        <v>28</v>
      </c>
      <c r="F2416" s="4" t="str">
        <f t="shared" si="293"/>
        <v>08</v>
      </c>
      <c r="G2416" s="4" t="s">
        <v>27</v>
      </c>
      <c r="H2416" s="5">
        <v>47.76</v>
      </c>
      <c r="I2416" s="4"/>
      <c r="J2416" s="4">
        <f>SUMPRODUCT(--((A2416=$A$3:$A$2785)*$H$3:$H$2785&gt;H2416))+1</f>
        <v>112</v>
      </c>
    </row>
    <row r="2417" s="1" customFormat="true" customHeight="true" spans="1:10">
      <c r="A2417" s="4" t="str">
        <f t="shared" si="290"/>
        <v>033</v>
      </c>
      <c r="B2417" s="4" t="s">
        <v>45</v>
      </c>
      <c r="C2417" s="4" t="str">
        <f>"李桂珍"</f>
        <v>李桂珍</v>
      </c>
      <c r="D2417" s="4" t="str">
        <f>"2021023208"</f>
        <v>2021023208</v>
      </c>
      <c r="E2417" s="4" t="str">
        <f>"32"</f>
        <v>32</v>
      </c>
      <c r="F2417" s="4" t="str">
        <f t="shared" si="293"/>
        <v>08</v>
      </c>
      <c r="G2417" s="4" t="s">
        <v>27</v>
      </c>
      <c r="H2417" s="5">
        <v>47.76</v>
      </c>
      <c r="I2417" s="4"/>
      <c r="J2417" s="4">
        <f>SUMPRODUCT(--((A2417=$A$3:$A$2785)*$H$3:$H$2785&gt;H2417))+1</f>
        <v>112</v>
      </c>
    </row>
    <row r="2418" s="1" customFormat="true" customHeight="true" spans="1:10">
      <c r="A2418" s="4" t="str">
        <f t="shared" si="290"/>
        <v>033</v>
      </c>
      <c r="B2418" s="4" t="s">
        <v>45</v>
      </c>
      <c r="C2418" s="4" t="str">
        <f>"余贵"</f>
        <v>余贵</v>
      </c>
      <c r="D2418" s="4" t="str">
        <f>"2021023011"</f>
        <v>2021023011</v>
      </c>
      <c r="E2418" s="4" t="str">
        <f t="shared" ref="E2418:E2420" si="294">"30"</f>
        <v>30</v>
      </c>
      <c r="F2418" s="4" t="str">
        <f>"11"</f>
        <v>11</v>
      </c>
      <c r="G2418" s="4" t="s">
        <v>27</v>
      </c>
      <c r="H2418" s="5">
        <v>47.58</v>
      </c>
      <c r="I2418" s="4"/>
      <c r="J2418" s="4">
        <f>SUMPRODUCT(--((A2418=$A$3:$A$2785)*$H$3:$H$2785&gt;H2418))+1</f>
        <v>114</v>
      </c>
    </row>
    <row r="2419" s="1" customFormat="true" customHeight="true" spans="1:10">
      <c r="A2419" s="4" t="str">
        <f t="shared" si="290"/>
        <v>033</v>
      </c>
      <c r="B2419" s="4" t="s">
        <v>45</v>
      </c>
      <c r="C2419" s="4" t="str">
        <f>"郑小慧"</f>
        <v>郑小慧</v>
      </c>
      <c r="D2419" s="4" t="str">
        <f>"2021023005"</f>
        <v>2021023005</v>
      </c>
      <c r="E2419" s="4" t="str">
        <f t="shared" si="294"/>
        <v>30</v>
      </c>
      <c r="F2419" s="4" t="str">
        <f>"05"</f>
        <v>05</v>
      </c>
      <c r="G2419" s="4" t="s">
        <v>27</v>
      </c>
      <c r="H2419" s="5">
        <v>47.32</v>
      </c>
      <c r="I2419" s="4"/>
      <c r="J2419" s="4">
        <f>SUMPRODUCT(--((A2419=$A$3:$A$2785)*$H$3:$H$2785&gt;H2419))+1</f>
        <v>115</v>
      </c>
    </row>
    <row r="2420" s="1" customFormat="true" customHeight="true" spans="1:10">
      <c r="A2420" s="4" t="str">
        <f t="shared" si="290"/>
        <v>033</v>
      </c>
      <c r="B2420" s="4" t="s">
        <v>45</v>
      </c>
      <c r="C2420" s="4" t="str">
        <f>"向丽"</f>
        <v>向丽</v>
      </c>
      <c r="D2420" s="4" t="str">
        <f>"2021023021"</f>
        <v>2021023021</v>
      </c>
      <c r="E2420" s="4" t="str">
        <f t="shared" si="294"/>
        <v>30</v>
      </c>
      <c r="F2420" s="4" t="str">
        <f>"21"</f>
        <v>21</v>
      </c>
      <c r="G2420" s="4" t="s">
        <v>27</v>
      </c>
      <c r="H2420" s="5">
        <v>47.2</v>
      </c>
      <c r="I2420" s="4"/>
      <c r="J2420" s="4">
        <f>SUMPRODUCT(--((A2420=$A$3:$A$2785)*$H$3:$H$2785&gt;H2420))+1</f>
        <v>116</v>
      </c>
    </row>
    <row r="2421" s="1" customFormat="true" customHeight="true" spans="1:10">
      <c r="A2421" s="4" t="str">
        <f t="shared" si="290"/>
        <v>033</v>
      </c>
      <c r="B2421" s="4" t="s">
        <v>45</v>
      </c>
      <c r="C2421" s="4" t="str">
        <f>"曾思雨"</f>
        <v>曾思雨</v>
      </c>
      <c r="D2421" s="4" t="str">
        <f>"2021022909"</f>
        <v>2021022909</v>
      </c>
      <c r="E2421" s="4" t="str">
        <f>"29"</f>
        <v>29</v>
      </c>
      <c r="F2421" s="4" t="str">
        <f>"09"</f>
        <v>09</v>
      </c>
      <c r="G2421" s="4" t="s">
        <v>27</v>
      </c>
      <c r="H2421" s="5">
        <v>46.84</v>
      </c>
      <c r="I2421" s="4"/>
      <c r="J2421" s="4">
        <f>SUMPRODUCT(--((A2421=$A$3:$A$2785)*$H$3:$H$2785&gt;H2421))+1</f>
        <v>117</v>
      </c>
    </row>
    <row r="2422" s="1" customFormat="true" customHeight="true" spans="1:10">
      <c r="A2422" s="4" t="str">
        <f t="shared" si="290"/>
        <v>033</v>
      </c>
      <c r="B2422" s="4" t="s">
        <v>45</v>
      </c>
      <c r="C2422" s="4" t="str">
        <f>"杨媚玫"</f>
        <v>杨媚玫</v>
      </c>
      <c r="D2422" s="4" t="str">
        <f>"2021023120"</f>
        <v>2021023120</v>
      </c>
      <c r="E2422" s="4" t="str">
        <f>"31"</f>
        <v>31</v>
      </c>
      <c r="F2422" s="4" t="str">
        <f>"20"</f>
        <v>20</v>
      </c>
      <c r="G2422" s="4" t="s">
        <v>27</v>
      </c>
      <c r="H2422" s="5">
        <v>46.8</v>
      </c>
      <c r="I2422" s="4"/>
      <c r="J2422" s="4">
        <f>SUMPRODUCT(--((A2422=$A$3:$A$2785)*$H$3:$H$2785&gt;H2422))+1</f>
        <v>118</v>
      </c>
    </row>
    <row r="2423" s="1" customFormat="true" customHeight="true" spans="1:10">
      <c r="A2423" s="4" t="str">
        <f t="shared" si="290"/>
        <v>033</v>
      </c>
      <c r="B2423" s="4" t="s">
        <v>45</v>
      </c>
      <c r="C2423" s="4" t="str">
        <f>"谌岭峰"</f>
        <v>谌岭峰</v>
      </c>
      <c r="D2423" s="4" t="str">
        <f>"2021023225"</f>
        <v>2021023225</v>
      </c>
      <c r="E2423" s="4" t="str">
        <f>"32"</f>
        <v>32</v>
      </c>
      <c r="F2423" s="4" t="str">
        <f>"25"</f>
        <v>25</v>
      </c>
      <c r="G2423" s="4" t="s">
        <v>27</v>
      </c>
      <c r="H2423" s="5">
        <v>46.74</v>
      </c>
      <c r="I2423" s="4"/>
      <c r="J2423" s="4">
        <f>SUMPRODUCT(--((A2423=$A$3:$A$2785)*$H$3:$H$2785&gt;H2423))+1</f>
        <v>119</v>
      </c>
    </row>
    <row r="2424" s="1" customFormat="true" customHeight="true" spans="1:10">
      <c r="A2424" s="4" t="str">
        <f t="shared" si="290"/>
        <v>033</v>
      </c>
      <c r="B2424" s="4" t="s">
        <v>45</v>
      </c>
      <c r="C2424" s="4" t="str">
        <f>"罗艺"</f>
        <v>罗艺</v>
      </c>
      <c r="D2424" s="4" t="str">
        <f>"2021023313"</f>
        <v>2021023313</v>
      </c>
      <c r="E2424" s="4" t="str">
        <f>"33"</f>
        <v>33</v>
      </c>
      <c r="F2424" s="4" t="str">
        <f>"13"</f>
        <v>13</v>
      </c>
      <c r="G2424" s="4" t="s">
        <v>27</v>
      </c>
      <c r="H2424" s="5">
        <v>46.72</v>
      </c>
      <c r="I2424" s="4"/>
      <c r="J2424" s="4">
        <f>SUMPRODUCT(--((A2424=$A$3:$A$2785)*$H$3:$H$2785&gt;H2424))+1</f>
        <v>120</v>
      </c>
    </row>
    <row r="2425" s="1" customFormat="true" customHeight="true" spans="1:10">
      <c r="A2425" s="4" t="str">
        <f t="shared" si="290"/>
        <v>033</v>
      </c>
      <c r="B2425" s="4" t="s">
        <v>45</v>
      </c>
      <c r="C2425" s="4" t="str">
        <f>"谢菲"</f>
        <v>谢菲</v>
      </c>
      <c r="D2425" s="4" t="str">
        <f>"2021022811"</f>
        <v>2021022811</v>
      </c>
      <c r="E2425" s="4" t="str">
        <f>"28"</f>
        <v>28</v>
      </c>
      <c r="F2425" s="4" t="str">
        <f>"11"</f>
        <v>11</v>
      </c>
      <c r="G2425" s="4" t="s">
        <v>27</v>
      </c>
      <c r="H2425" s="5">
        <v>46.68</v>
      </c>
      <c r="I2425" s="4"/>
      <c r="J2425" s="4">
        <f>SUMPRODUCT(--((A2425=$A$3:$A$2785)*$H$3:$H$2785&gt;H2425))+1</f>
        <v>121</v>
      </c>
    </row>
    <row r="2426" s="1" customFormat="true" customHeight="true" spans="1:10">
      <c r="A2426" s="4" t="str">
        <f t="shared" si="290"/>
        <v>033</v>
      </c>
      <c r="B2426" s="4" t="s">
        <v>45</v>
      </c>
      <c r="C2426" s="4" t="str">
        <f>"禹曙光"</f>
        <v>禹曙光</v>
      </c>
      <c r="D2426" s="4" t="str">
        <f>"2021022824"</f>
        <v>2021022824</v>
      </c>
      <c r="E2426" s="4" t="str">
        <f>"28"</f>
        <v>28</v>
      </c>
      <c r="F2426" s="4" t="str">
        <f>"24"</f>
        <v>24</v>
      </c>
      <c r="G2426" s="4" t="s">
        <v>27</v>
      </c>
      <c r="H2426" s="5">
        <v>46.24</v>
      </c>
      <c r="I2426" s="4"/>
      <c r="J2426" s="4">
        <f>SUMPRODUCT(--((A2426=$A$3:$A$2785)*$H$3:$H$2785&gt;H2426))+1</f>
        <v>122</v>
      </c>
    </row>
    <row r="2427" s="1" customFormat="true" customHeight="true" spans="1:10">
      <c r="A2427" s="4" t="str">
        <f t="shared" si="290"/>
        <v>033</v>
      </c>
      <c r="B2427" s="4" t="s">
        <v>45</v>
      </c>
      <c r="C2427" s="4" t="str">
        <f>"舒颖"</f>
        <v>舒颖</v>
      </c>
      <c r="D2427" s="4" t="str">
        <f>"2021022906"</f>
        <v>2021022906</v>
      </c>
      <c r="E2427" s="4" t="str">
        <f>"29"</f>
        <v>29</v>
      </c>
      <c r="F2427" s="4" t="str">
        <f>"06"</f>
        <v>06</v>
      </c>
      <c r="G2427" s="4" t="s">
        <v>27</v>
      </c>
      <c r="H2427" s="5">
        <v>46.24</v>
      </c>
      <c r="I2427" s="4"/>
      <c r="J2427" s="4">
        <f>SUMPRODUCT(--((A2427=$A$3:$A$2785)*$H$3:$H$2785&gt;H2427))+1</f>
        <v>122</v>
      </c>
    </row>
    <row r="2428" s="1" customFormat="true" customHeight="true" spans="1:10">
      <c r="A2428" s="4" t="str">
        <f t="shared" si="290"/>
        <v>033</v>
      </c>
      <c r="B2428" s="4" t="s">
        <v>45</v>
      </c>
      <c r="C2428" s="4" t="str">
        <f>"王亭亭"</f>
        <v>王亭亭</v>
      </c>
      <c r="D2428" s="4" t="str">
        <f>"2021023001"</f>
        <v>2021023001</v>
      </c>
      <c r="E2428" s="4" t="str">
        <f>"30"</f>
        <v>30</v>
      </c>
      <c r="F2428" s="4" t="str">
        <f>"01"</f>
        <v>01</v>
      </c>
      <c r="G2428" s="4" t="s">
        <v>27</v>
      </c>
      <c r="H2428" s="5">
        <v>46.2</v>
      </c>
      <c r="I2428" s="4"/>
      <c r="J2428" s="4">
        <f>SUMPRODUCT(--((A2428=$A$3:$A$2785)*$H$3:$H$2785&gt;H2428))+1</f>
        <v>124</v>
      </c>
    </row>
    <row r="2429" s="1" customFormat="true" customHeight="true" spans="1:10">
      <c r="A2429" s="4" t="str">
        <f t="shared" si="290"/>
        <v>033</v>
      </c>
      <c r="B2429" s="4" t="s">
        <v>45</v>
      </c>
      <c r="C2429" s="4" t="str">
        <f>"李贺"</f>
        <v>李贺</v>
      </c>
      <c r="D2429" s="4" t="str">
        <f>"2021023108"</f>
        <v>2021023108</v>
      </c>
      <c r="E2429" s="4" t="str">
        <f>"31"</f>
        <v>31</v>
      </c>
      <c r="F2429" s="4" t="str">
        <f>"08"</f>
        <v>08</v>
      </c>
      <c r="G2429" s="4" t="s">
        <v>27</v>
      </c>
      <c r="H2429" s="5">
        <v>46.2</v>
      </c>
      <c r="I2429" s="4"/>
      <c r="J2429" s="4">
        <f>SUMPRODUCT(--((A2429=$A$3:$A$2785)*$H$3:$H$2785&gt;H2429))+1</f>
        <v>124</v>
      </c>
    </row>
    <row r="2430" s="1" customFormat="true" customHeight="true" spans="1:10">
      <c r="A2430" s="4" t="str">
        <f t="shared" si="290"/>
        <v>033</v>
      </c>
      <c r="B2430" s="4" t="s">
        <v>45</v>
      </c>
      <c r="C2430" s="4" t="str">
        <f>"尹丽丽"</f>
        <v>尹丽丽</v>
      </c>
      <c r="D2430" s="4" t="str">
        <f>"2021023124"</f>
        <v>2021023124</v>
      </c>
      <c r="E2430" s="4" t="str">
        <f>"31"</f>
        <v>31</v>
      </c>
      <c r="F2430" s="4" t="str">
        <f>"24"</f>
        <v>24</v>
      </c>
      <c r="G2430" s="4" t="s">
        <v>27</v>
      </c>
      <c r="H2430" s="5">
        <v>45.8</v>
      </c>
      <c r="I2430" s="4"/>
      <c r="J2430" s="4">
        <f>SUMPRODUCT(--((A2430=$A$3:$A$2785)*$H$3:$H$2785&gt;H2430))+1</f>
        <v>126</v>
      </c>
    </row>
    <row r="2431" s="1" customFormat="true" customHeight="true" spans="1:10">
      <c r="A2431" s="4" t="str">
        <f t="shared" si="290"/>
        <v>033</v>
      </c>
      <c r="B2431" s="4" t="s">
        <v>45</v>
      </c>
      <c r="C2431" s="4" t="str">
        <f>"谢灵萍"</f>
        <v>谢灵萍</v>
      </c>
      <c r="D2431" s="4" t="str">
        <f>"2021023330"</f>
        <v>2021023330</v>
      </c>
      <c r="E2431" s="4" t="str">
        <f>"33"</f>
        <v>33</v>
      </c>
      <c r="F2431" s="4" t="str">
        <f>"30"</f>
        <v>30</v>
      </c>
      <c r="G2431" s="4" t="s">
        <v>27</v>
      </c>
      <c r="H2431" s="5">
        <v>45.53</v>
      </c>
      <c r="I2431" s="4"/>
      <c r="J2431" s="4">
        <f>SUMPRODUCT(--((A2431=$A$3:$A$2785)*$H$3:$H$2785&gt;H2431))+1</f>
        <v>127</v>
      </c>
    </row>
    <row r="2432" s="1" customFormat="true" customHeight="true" spans="1:10">
      <c r="A2432" s="4" t="str">
        <f t="shared" si="290"/>
        <v>033</v>
      </c>
      <c r="B2432" s="4" t="s">
        <v>45</v>
      </c>
      <c r="C2432" s="4" t="str">
        <f>"杨玉洁"</f>
        <v>杨玉洁</v>
      </c>
      <c r="D2432" s="4" t="str">
        <f>"2021023004"</f>
        <v>2021023004</v>
      </c>
      <c r="E2432" s="4" t="str">
        <f t="shared" ref="E2432:E2436" si="295">"30"</f>
        <v>30</v>
      </c>
      <c r="F2432" s="4" t="str">
        <f>"04"</f>
        <v>04</v>
      </c>
      <c r="G2432" s="4" t="s">
        <v>27</v>
      </c>
      <c r="H2432" s="5">
        <v>45.26</v>
      </c>
      <c r="I2432" s="4"/>
      <c r="J2432" s="4">
        <f>SUMPRODUCT(--((A2432=$A$3:$A$2785)*$H$3:$H$2785&gt;H2432))+1</f>
        <v>128</v>
      </c>
    </row>
    <row r="2433" s="1" customFormat="true" customHeight="true" spans="1:10">
      <c r="A2433" s="4" t="str">
        <f t="shared" ref="A2433:A2496" si="296">"033"</f>
        <v>033</v>
      </c>
      <c r="B2433" s="4" t="s">
        <v>45</v>
      </c>
      <c r="C2433" s="4" t="str">
        <f>"夏红敏"</f>
        <v>夏红敏</v>
      </c>
      <c r="D2433" s="4" t="str">
        <f>"2021023308"</f>
        <v>2021023308</v>
      </c>
      <c r="E2433" s="4" t="str">
        <f>"33"</f>
        <v>33</v>
      </c>
      <c r="F2433" s="4" t="str">
        <f>"08"</f>
        <v>08</v>
      </c>
      <c r="G2433" s="4" t="s">
        <v>27</v>
      </c>
      <c r="H2433" s="5">
        <v>44.86</v>
      </c>
      <c r="I2433" s="4"/>
      <c r="J2433" s="4">
        <f>SUMPRODUCT(--((A2433=$A$3:$A$2785)*$H$3:$H$2785&gt;H2433))+1</f>
        <v>129</v>
      </c>
    </row>
    <row r="2434" s="1" customFormat="true" customHeight="true" spans="1:10">
      <c r="A2434" s="4" t="str">
        <f t="shared" si="296"/>
        <v>033</v>
      </c>
      <c r="B2434" s="4" t="s">
        <v>45</v>
      </c>
      <c r="C2434" s="4" t="str">
        <f>"金亚林"</f>
        <v>金亚林</v>
      </c>
      <c r="D2434" s="4" t="str">
        <f>"2021023205"</f>
        <v>2021023205</v>
      </c>
      <c r="E2434" s="4" t="str">
        <f>"32"</f>
        <v>32</v>
      </c>
      <c r="F2434" s="4" t="str">
        <f>"05"</f>
        <v>05</v>
      </c>
      <c r="G2434" s="4" t="s">
        <v>27</v>
      </c>
      <c r="H2434" s="5">
        <v>44.24</v>
      </c>
      <c r="I2434" s="4"/>
      <c r="J2434" s="4">
        <f>SUMPRODUCT(--((A2434=$A$3:$A$2785)*$H$3:$H$2785&gt;H2434))+1</f>
        <v>130</v>
      </c>
    </row>
    <row r="2435" s="1" customFormat="true" customHeight="true" spans="1:10">
      <c r="A2435" s="4" t="str">
        <f t="shared" si="296"/>
        <v>033</v>
      </c>
      <c r="B2435" s="4" t="s">
        <v>45</v>
      </c>
      <c r="C2435" s="4" t="str">
        <f>"周修莉"</f>
        <v>周修莉</v>
      </c>
      <c r="D2435" s="4" t="str">
        <f>"2021023007"</f>
        <v>2021023007</v>
      </c>
      <c r="E2435" s="4" t="str">
        <f t="shared" si="295"/>
        <v>30</v>
      </c>
      <c r="F2435" s="4" t="str">
        <f>"07"</f>
        <v>07</v>
      </c>
      <c r="G2435" s="4" t="s">
        <v>27</v>
      </c>
      <c r="H2435" s="5">
        <v>43.8</v>
      </c>
      <c r="I2435" s="4"/>
      <c r="J2435" s="4">
        <f>SUMPRODUCT(--((A2435=$A$3:$A$2785)*$H$3:$H$2785&gt;H2435))+1</f>
        <v>131</v>
      </c>
    </row>
    <row r="2436" s="1" customFormat="true" customHeight="true" spans="1:10">
      <c r="A2436" s="4" t="str">
        <f t="shared" si="296"/>
        <v>033</v>
      </c>
      <c r="B2436" s="4" t="s">
        <v>45</v>
      </c>
      <c r="C2436" s="4" t="str">
        <f>"彭笑"</f>
        <v>彭笑</v>
      </c>
      <c r="D2436" s="4" t="str">
        <f>"2021023024"</f>
        <v>2021023024</v>
      </c>
      <c r="E2436" s="4" t="str">
        <f t="shared" si="295"/>
        <v>30</v>
      </c>
      <c r="F2436" s="4" t="str">
        <f>"24"</f>
        <v>24</v>
      </c>
      <c r="G2436" s="4" t="s">
        <v>27</v>
      </c>
      <c r="H2436" s="5">
        <v>43.72</v>
      </c>
      <c r="I2436" s="4"/>
      <c r="J2436" s="4">
        <f>SUMPRODUCT(--((A2436=$A$3:$A$2785)*$H$3:$H$2785&gt;H2436))+1</f>
        <v>132</v>
      </c>
    </row>
    <row r="2437" s="1" customFormat="true" customHeight="true" spans="1:10">
      <c r="A2437" s="4" t="str">
        <f t="shared" si="296"/>
        <v>033</v>
      </c>
      <c r="B2437" s="4" t="s">
        <v>45</v>
      </c>
      <c r="C2437" s="4" t="str">
        <f>"杨宽生"</f>
        <v>杨宽生</v>
      </c>
      <c r="D2437" s="4" t="str">
        <f>"2021023121"</f>
        <v>2021023121</v>
      </c>
      <c r="E2437" s="4" t="str">
        <f>"31"</f>
        <v>31</v>
      </c>
      <c r="F2437" s="4" t="str">
        <f>"21"</f>
        <v>21</v>
      </c>
      <c r="G2437" s="4" t="s">
        <v>27</v>
      </c>
      <c r="H2437" s="5">
        <v>43.72</v>
      </c>
      <c r="I2437" s="4"/>
      <c r="J2437" s="4">
        <f>SUMPRODUCT(--((A2437=$A$3:$A$2785)*$H$3:$H$2785&gt;H2437))+1</f>
        <v>132</v>
      </c>
    </row>
    <row r="2438" s="1" customFormat="true" customHeight="true" spans="1:10">
      <c r="A2438" s="4" t="str">
        <f t="shared" si="296"/>
        <v>033</v>
      </c>
      <c r="B2438" s="4" t="s">
        <v>45</v>
      </c>
      <c r="C2438" s="4" t="str">
        <f>"邓淑文"</f>
        <v>邓淑文</v>
      </c>
      <c r="D2438" s="4" t="str">
        <f>"2021023311"</f>
        <v>2021023311</v>
      </c>
      <c r="E2438" s="4" t="str">
        <f>"33"</f>
        <v>33</v>
      </c>
      <c r="F2438" s="4" t="str">
        <f>"11"</f>
        <v>11</v>
      </c>
      <c r="G2438" s="4" t="s">
        <v>27</v>
      </c>
      <c r="H2438" s="5">
        <v>43.54</v>
      </c>
      <c r="I2438" s="4"/>
      <c r="J2438" s="4">
        <f>SUMPRODUCT(--((A2438=$A$3:$A$2785)*$H$3:$H$2785&gt;H2438))+1</f>
        <v>134</v>
      </c>
    </row>
    <row r="2439" s="1" customFormat="true" customHeight="true" spans="1:10">
      <c r="A2439" s="4" t="str">
        <f t="shared" si="296"/>
        <v>033</v>
      </c>
      <c r="B2439" s="4" t="s">
        <v>45</v>
      </c>
      <c r="C2439" s="4" t="str">
        <f>"刘婷"</f>
        <v>刘婷</v>
      </c>
      <c r="D2439" s="4" t="str">
        <f>"2021022929"</f>
        <v>2021022929</v>
      </c>
      <c r="E2439" s="4" t="str">
        <f>"29"</f>
        <v>29</v>
      </c>
      <c r="F2439" s="4" t="str">
        <f>"29"</f>
        <v>29</v>
      </c>
      <c r="G2439" s="4" t="s">
        <v>27</v>
      </c>
      <c r="H2439" s="5">
        <v>42.74</v>
      </c>
      <c r="I2439" s="4"/>
      <c r="J2439" s="4">
        <f>SUMPRODUCT(--((A2439=$A$3:$A$2785)*$H$3:$H$2785&gt;H2439))+1</f>
        <v>135</v>
      </c>
    </row>
    <row r="2440" s="1" customFormat="true" customHeight="true" spans="1:10">
      <c r="A2440" s="4" t="str">
        <f t="shared" si="296"/>
        <v>033</v>
      </c>
      <c r="B2440" s="4" t="s">
        <v>45</v>
      </c>
      <c r="C2440" s="4" t="str">
        <f>"唐晓晴"</f>
        <v>唐晓晴</v>
      </c>
      <c r="D2440" s="4" t="str">
        <f>"2021023003"</f>
        <v>2021023003</v>
      </c>
      <c r="E2440" s="4" t="str">
        <f>"30"</f>
        <v>30</v>
      </c>
      <c r="F2440" s="4" t="str">
        <f>"03"</f>
        <v>03</v>
      </c>
      <c r="G2440" s="4" t="s">
        <v>27</v>
      </c>
      <c r="H2440" s="5">
        <v>41.84</v>
      </c>
      <c r="I2440" s="4"/>
      <c r="J2440" s="4">
        <f>SUMPRODUCT(--((A2440=$A$3:$A$2785)*$H$3:$H$2785&gt;H2440))+1</f>
        <v>136</v>
      </c>
    </row>
    <row r="2441" s="1" customFormat="true" customHeight="true" spans="1:10">
      <c r="A2441" s="4" t="str">
        <f t="shared" si="296"/>
        <v>033</v>
      </c>
      <c r="B2441" s="4" t="s">
        <v>45</v>
      </c>
      <c r="C2441" s="4" t="str">
        <f>"李艺璇"</f>
        <v>李艺璇</v>
      </c>
      <c r="D2441" s="4" t="str">
        <f>"2021022920"</f>
        <v>2021022920</v>
      </c>
      <c r="E2441" s="4" t="str">
        <f>"29"</f>
        <v>29</v>
      </c>
      <c r="F2441" s="4" t="str">
        <f>"20"</f>
        <v>20</v>
      </c>
      <c r="G2441" s="4" t="s">
        <v>27</v>
      </c>
      <c r="H2441" s="5">
        <v>40.76</v>
      </c>
      <c r="I2441" s="4"/>
      <c r="J2441" s="4">
        <f>SUMPRODUCT(--((A2441=$A$3:$A$2785)*$H$3:$H$2785&gt;H2441))+1</f>
        <v>137</v>
      </c>
    </row>
    <row r="2442" s="1" customFormat="true" customHeight="true" spans="1:10">
      <c r="A2442" s="4" t="str">
        <f t="shared" si="296"/>
        <v>033</v>
      </c>
      <c r="B2442" s="4" t="s">
        <v>45</v>
      </c>
      <c r="C2442" s="4" t="str">
        <f>"梁翠"</f>
        <v>梁翠</v>
      </c>
      <c r="D2442" s="4" t="str">
        <f>"2021022728"</f>
        <v>2021022728</v>
      </c>
      <c r="E2442" s="4" t="str">
        <f t="shared" ref="E2442:E2450" si="297">"27"</f>
        <v>27</v>
      </c>
      <c r="F2442" s="4" t="str">
        <f>"28"</f>
        <v>28</v>
      </c>
      <c r="G2442" s="4" t="s">
        <v>27</v>
      </c>
      <c r="H2442" s="5">
        <v>37.84</v>
      </c>
      <c r="I2442" s="4"/>
      <c r="J2442" s="4">
        <f>SUMPRODUCT(--((A2442=$A$3:$A$2785)*$H$3:$H$2785&gt;H2442))+1</f>
        <v>138</v>
      </c>
    </row>
    <row r="2443" s="1" customFormat="true" customHeight="true" spans="1:10">
      <c r="A2443" s="4" t="str">
        <f t="shared" si="296"/>
        <v>033</v>
      </c>
      <c r="B2443" s="4" t="s">
        <v>45</v>
      </c>
      <c r="C2443" s="4" t="str">
        <f>"李飞云"</f>
        <v>李飞云</v>
      </c>
      <c r="D2443" s="4" t="str">
        <f>"2021022713"</f>
        <v>2021022713</v>
      </c>
      <c r="E2443" s="4" t="str">
        <f t="shared" si="297"/>
        <v>27</v>
      </c>
      <c r="F2443" s="4" t="str">
        <f>"13"</f>
        <v>13</v>
      </c>
      <c r="G2443" s="4" t="s">
        <v>27</v>
      </c>
      <c r="H2443" s="5">
        <v>0</v>
      </c>
      <c r="I2443" s="6" t="s">
        <v>13</v>
      </c>
      <c r="J2443" s="4">
        <f>SUMPRODUCT(--((A2443=$A$3:$A$2785)*$H$3:$H$2785&gt;H2443))+1</f>
        <v>139</v>
      </c>
    </row>
    <row r="2444" s="1" customFormat="true" customHeight="true" spans="1:10">
      <c r="A2444" s="4" t="str">
        <f t="shared" si="296"/>
        <v>033</v>
      </c>
      <c r="B2444" s="4" t="s">
        <v>45</v>
      </c>
      <c r="C2444" s="4" t="str">
        <f>"何卫东"</f>
        <v>何卫东</v>
      </c>
      <c r="D2444" s="4" t="str">
        <f>"2021022714"</f>
        <v>2021022714</v>
      </c>
      <c r="E2444" s="4" t="str">
        <f t="shared" si="297"/>
        <v>27</v>
      </c>
      <c r="F2444" s="4" t="str">
        <f>"14"</f>
        <v>14</v>
      </c>
      <c r="G2444" s="4" t="s">
        <v>27</v>
      </c>
      <c r="H2444" s="5">
        <v>0</v>
      </c>
      <c r="I2444" s="6" t="s">
        <v>13</v>
      </c>
      <c r="J2444" s="4">
        <f>SUMPRODUCT(--((A2444=$A$3:$A$2785)*$H$3:$H$2785&gt;H2444))+1</f>
        <v>139</v>
      </c>
    </row>
    <row r="2445" s="1" customFormat="true" customHeight="true" spans="1:10">
      <c r="A2445" s="4" t="str">
        <f t="shared" si="296"/>
        <v>033</v>
      </c>
      <c r="B2445" s="4" t="s">
        <v>45</v>
      </c>
      <c r="C2445" s="4" t="str">
        <f>"陈颖"</f>
        <v>陈颖</v>
      </c>
      <c r="D2445" s="4" t="str">
        <f>"2021022716"</f>
        <v>2021022716</v>
      </c>
      <c r="E2445" s="4" t="str">
        <f t="shared" si="297"/>
        <v>27</v>
      </c>
      <c r="F2445" s="4" t="str">
        <f>"16"</f>
        <v>16</v>
      </c>
      <c r="G2445" s="4" t="s">
        <v>27</v>
      </c>
      <c r="H2445" s="5">
        <v>0</v>
      </c>
      <c r="I2445" s="6" t="s">
        <v>13</v>
      </c>
      <c r="J2445" s="4">
        <f>SUMPRODUCT(--((A2445=$A$3:$A$2785)*$H$3:$H$2785&gt;H2445))+1</f>
        <v>139</v>
      </c>
    </row>
    <row r="2446" s="1" customFormat="true" customHeight="true" spans="1:10">
      <c r="A2446" s="4" t="str">
        <f t="shared" si="296"/>
        <v>033</v>
      </c>
      <c r="B2446" s="4" t="s">
        <v>45</v>
      </c>
      <c r="C2446" s="4" t="str">
        <f>"杨小冰"</f>
        <v>杨小冰</v>
      </c>
      <c r="D2446" s="4" t="str">
        <f>"2021022718"</f>
        <v>2021022718</v>
      </c>
      <c r="E2446" s="4" t="str">
        <f t="shared" si="297"/>
        <v>27</v>
      </c>
      <c r="F2446" s="4" t="str">
        <f>"18"</f>
        <v>18</v>
      </c>
      <c r="G2446" s="4" t="s">
        <v>27</v>
      </c>
      <c r="H2446" s="5">
        <v>0</v>
      </c>
      <c r="I2446" s="6" t="s">
        <v>13</v>
      </c>
      <c r="J2446" s="4">
        <f>SUMPRODUCT(--((A2446=$A$3:$A$2785)*$H$3:$H$2785&gt;H2446))+1</f>
        <v>139</v>
      </c>
    </row>
    <row r="2447" s="1" customFormat="true" customHeight="true" spans="1:10">
      <c r="A2447" s="4" t="str">
        <f t="shared" si="296"/>
        <v>033</v>
      </c>
      <c r="B2447" s="4" t="s">
        <v>45</v>
      </c>
      <c r="C2447" s="4" t="str">
        <f>"刘倩"</f>
        <v>刘倩</v>
      </c>
      <c r="D2447" s="4" t="str">
        <f>"2021022719"</f>
        <v>2021022719</v>
      </c>
      <c r="E2447" s="4" t="str">
        <f t="shared" si="297"/>
        <v>27</v>
      </c>
      <c r="F2447" s="4" t="str">
        <f>"19"</f>
        <v>19</v>
      </c>
      <c r="G2447" s="4" t="s">
        <v>27</v>
      </c>
      <c r="H2447" s="5">
        <v>0</v>
      </c>
      <c r="I2447" s="6" t="s">
        <v>13</v>
      </c>
      <c r="J2447" s="4">
        <f>SUMPRODUCT(--((A2447=$A$3:$A$2785)*$H$3:$H$2785&gt;H2447))+1</f>
        <v>139</v>
      </c>
    </row>
    <row r="2448" s="1" customFormat="true" customHeight="true" spans="1:10">
      <c r="A2448" s="4" t="str">
        <f t="shared" si="296"/>
        <v>033</v>
      </c>
      <c r="B2448" s="4" t="s">
        <v>45</v>
      </c>
      <c r="C2448" s="4" t="str">
        <f>"马静平"</f>
        <v>马静平</v>
      </c>
      <c r="D2448" s="4" t="str">
        <f>"2021022721"</f>
        <v>2021022721</v>
      </c>
      <c r="E2448" s="4" t="str">
        <f t="shared" si="297"/>
        <v>27</v>
      </c>
      <c r="F2448" s="4" t="str">
        <f>"21"</f>
        <v>21</v>
      </c>
      <c r="G2448" s="4" t="s">
        <v>27</v>
      </c>
      <c r="H2448" s="5">
        <v>0</v>
      </c>
      <c r="I2448" s="6" t="s">
        <v>13</v>
      </c>
      <c r="J2448" s="4">
        <f>SUMPRODUCT(--((A2448=$A$3:$A$2785)*$H$3:$H$2785&gt;H2448))+1</f>
        <v>139</v>
      </c>
    </row>
    <row r="2449" s="1" customFormat="true" customHeight="true" spans="1:10">
      <c r="A2449" s="4" t="str">
        <f t="shared" si="296"/>
        <v>033</v>
      </c>
      <c r="B2449" s="4" t="s">
        <v>45</v>
      </c>
      <c r="C2449" s="4" t="str">
        <f>"贾晓妍"</f>
        <v>贾晓妍</v>
      </c>
      <c r="D2449" s="4" t="str">
        <f>"2021022725"</f>
        <v>2021022725</v>
      </c>
      <c r="E2449" s="4" t="str">
        <f t="shared" si="297"/>
        <v>27</v>
      </c>
      <c r="F2449" s="4" t="str">
        <f>"25"</f>
        <v>25</v>
      </c>
      <c r="G2449" s="4" t="s">
        <v>27</v>
      </c>
      <c r="H2449" s="5">
        <v>0</v>
      </c>
      <c r="I2449" s="6" t="s">
        <v>13</v>
      </c>
      <c r="J2449" s="4">
        <f>SUMPRODUCT(--((A2449=$A$3:$A$2785)*$H$3:$H$2785&gt;H2449))+1</f>
        <v>139</v>
      </c>
    </row>
    <row r="2450" s="1" customFormat="true" customHeight="true" spans="1:10">
      <c r="A2450" s="4" t="str">
        <f t="shared" si="296"/>
        <v>033</v>
      </c>
      <c r="B2450" s="4" t="s">
        <v>45</v>
      </c>
      <c r="C2450" s="4" t="str">
        <f>"杨娜"</f>
        <v>杨娜</v>
      </c>
      <c r="D2450" s="4" t="str">
        <f>"2021022730"</f>
        <v>2021022730</v>
      </c>
      <c r="E2450" s="4" t="str">
        <f t="shared" si="297"/>
        <v>27</v>
      </c>
      <c r="F2450" s="4" t="str">
        <f>"30"</f>
        <v>30</v>
      </c>
      <c r="G2450" s="4" t="s">
        <v>27</v>
      </c>
      <c r="H2450" s="5">
        <v>0</v>
      </c>
      <c r="I2450" s="6" t="s">
        <v>13</v>
      </c>
      <c r="J2450" s="4">
        <f>SUMPRODUCT(--((A2450=$A$3:$A$2785)*$H$3:$H$2785&gt;H2450))+1</f>
        <v>139</v>
      </c>
    </row>
    <row r="2451" s="1" customFormat="true" customHeight="true" spans="1:10">
      <c r="A2451" s="4" t="str">
        <f t="shared" si="296"/>
        <v>033</v>
      </c>
      <c r="B2451" s="4" t="s">
        <v>45</v>
      </c>
      <c r="C2451" s="4" t="str">
        <f>"杨慕秋"</f>
        <v>杨慕秋</v>
      </c>
      <c r="D2451" s="4" t="str">
        <f>"2021022802"</f>
        <v>2021022802</v>
      </c>
      <c r="E2451" s="4" t="str">
        <f t="shared" ref="E2451:E2456" si="298">"28"</f>
        <v>28</v>
      </c>
      <c r="F2451" s="4" t="str">
        <f>"02"</f>
        <v>02</v>
      </c>
      <c r="G2451" s="4" t="s">
        <v>27</v>
      </c>
      <c r="H2451" s="5">
        <v>0</v>
      </c>
      <c r="I2451" s="6" t="s">
        <v>13</v>
      </c>
      <c r="J2451" s="4">
        <f>SUMPRODUCT(--((A2451=$A$3:$A$2785)*$H$3:$H$2785&gt;H2451))+1</f>
        <v>139</v>
      </c>
    </row>
    <row r="2452" s="1" customFormat="true" customHeight="true" spans="1:10">
      <c r="A2452" s="4" t="str">
        <f t="shared" si="296"/>
        <v>033</v>
      </c>
      <c r="B2452" s="4" t="s">
        <v>45</v>
      </c>
      <c r="C2452" s="4" t="str">
        <f>"肖明星"</f>
        <v>肖明星</v>
      </c>
      <c r="D2452" s="4" t="str">
        <f>"2021022806"</f>
        <v>2021022806</v>
      </c>
      <c r="E2452" s="4" t="str">
        <f t="shared" si="298"/>
        <v>28</v>
      </c>
      <c r="F2452" s="4" t="str">
        <f>"06"</f>
        <v>06</v>
      </c>
      <c r="G2452" s="4" t="s">
        <v>27</v>
      </c>
      <c r="H2452" s="5">
        <v>0</v>
      </c>
      <c r="I2452" s="6" t="s">
        <v>13</v>
      </c>
      <c r="J2452" s="4">
        <f>SUMPRODUCT(--((A2452=$A$3:$A$2785)*$H$3:$H$2785&gt;H2452))+1</f>
        <v>139</v>
      </c>
    </row>
    <row r="2453" s="1" customFormat="true" customHeight="true" spans="1:10">
      <c r="A2453" s="4" t="str">
        <f t="shared" si="296"/>
        <v>033</v>
      </c>
      <c r="B2453" s="4" t="s">
        <v>45</v>
      </c>
      <c r="C2453" s="4" t="str">
        <f>"张思祺"</f>
        <v>张思祺</v>
      </c>
      <c r="D2453" s="4" t="str">
        <f>"2021022810"</f>
        <v>2021022810</v>
      </c>
      <c r="E2453" s="4" t="str">
        <f t="shared" si="298"/>
        <v>28</v>
      </c>
      <c r="F2453" s="4" t="str">
        <f>"10"</f>
        <v>10</v>
      </c>
      <c r="G2453" s="4" t="s">
        <v>27</v>
      </c>
      <c r="H2453" s="5">
        <v>0</v>
      </c>
      <c r="I2453" s="6" t="s">
        <v>13</v>
      </c>
      <c r="J2453" s="4">
        <f>SUMPRODUCT(--((A2453=$A$3:$A$2785)*$H$3:$H$2785&gt;H2453))+1</f>
        <v>139</v>
      </c>
    </row>
    <row r="2454" s="1" customFormat="true" customHeight="true" spans="1:10">
      <c r="A2454" s="4" t="str">
        <f t="shared" si="296"/>
        <v>033</v>
      </c>
      <c r="B2454" s="4" t="s">
        <v>45</v>
      </c>
      <c r="C2454" s="4" t="str">
        <f>"舒丽蓉"</f>
        <v>舒丽蓉</v>
      </c>
      <c r="D2454" s="4" t="str">
        <f>"2021022816"</f>
        <v>2021022816</v>
      </c>
      <c r="E2454" s="4" t="str">
        <f t="shared" si="298"/>
        <v>28</v>
      </c>
      <c r="F2454" s="4" t="str">
        <f>"16"</f>
        <v>16</v>
      </c>
      <c r="G2454" s="4" t="s">
        <v>27</v>
      </c>
      <c r="H2454" s="5">
        <v>0</v>
      </c>
      <c r="I2454" s="6" t="s">
        <v>13</v>
      </c>
      <c r="J2454" s="4">
        <f>SUMPRODUCT(--((A2454=$A$3:$A$2785)*$H$3:$H$2785&gt;H2454))+1</f>
        <v>139</v>
      </c>
    </row>
    <row r="2455" s="1" customFormat="true" customHeight="true" spans="1:10">
      <c r="A2455" s="4" t="str">
        <f t="shared" si="296"/>
        <v>033</v>
      </c>
      <c r="B2455" s="4" t="s">
        <v>45</v>
      </c>
      <c r="C2455" s="4" t="str">
        <f>"杨岚"</f>
        <v>杨岚</v>
      </c>
      <c r="D2455" s="4" t="str">
        <f>"2021022818"</f>
        <v>2021022818</v>
      </c>
      <c r="E2455" s="4" t="str">
        <f t="shared" si="298"/>
        <v>28</v>
      </c>
      <c r="F2455" s="4" t="str">
        <f>"18"</f>
        <v>18</v>
      </c>
      <c r="G2455" s="4" t="s">
        <v>27</v>
      </c>
      <c r="H2455" s="5">
        <v>0</v>
      </c>
      <c r="I2455" s="6" t="s">
        <v>13</v>
      </c>
      <c r="J2455" s="4">
        <f>SUMPRODUCT(--((A2455=$A$3:$A$2785)*$H$3:$H$2785&gt;H2455))+1</f>
        <v>139</v>
      </c>
    </row>
    <row r="2456" s="1" customFormat="true" customHeight="true" spans="1:10">
      <c r="A2456" s="4" t="str">
        <f t="shared" si="296"/>
        <v>033</v>
      </c>
      <c r="B2456" s="4" t="s">
        <v>45</v>
      </c>
      <c r="C2456" s="4" t="str">
        <f>"谭莹"</f>
        <v>谭莹</v>
      </c>
      <c r="D2456" s="4" t="str">
        <f>"2021022827"</f>
        <v>2021022827</v>
      </c>
      <c r="E2456" s="4" t="str">
        <f t="shared" si="298"/>
        <v>28</v>
      </c>
      <c r="F2456" s="4" t="str">
        <f>"27"</f>
        <v>27</v>
      </c>
      <c r="G2456" s="4" t="s">
        <v>27</v>
      </c>
      <c r="H2456" s="5">
        <v>0</v>
      </c>
      <c r="I2456" s="6" t="s">
        <v>13</v>
      </c>
      <c r="J2456" s="4">
        <f>SUMPRODUCT(--((A2456=$A$3:$A$2785)*$H$3:$H$2785&gt;H2456))+1</f>
        <v>139</v>
      </c>
    </row>
    <row r="2457" s="1" customFormat="true" customHeight="true" spans="1:10">
      <c r="A2457" s="4" t="str">
        <f t="shared" si="296"/>
        <v>033</v>
      </c>
      <c r="B2457" s="4" t="s">
        <v>45</v>
      </c>
      <c r="C2457" s="4" t="str">
        <f>"江鲜"</f>
        <v>江鲜</v>
      </c>
      <c r="D2457" s="4" t="str">
        <f>"2021022904"</f>
        <v>2021022904</v>
      </c>
      <c r="E2457" s="4" t="str">
        <f t="shared" ref="E2457:E2468" si="299">"29"</f>
        <v>29</v>
      </c>
      <c r="F2457" s="4" t="str">
        <f>"04"</f>
        <v>04</v>
      </c>
      <c r="G2457" s="4" t="s">
        <v>27</v>
      </c>
      <c r="H2457" s="5">
        <v>0</v>
      </c>
      <c r="I2457" s="6" t="s">
        <v>13</v>
      </c>
      <c r="J2457" s="4">
        <f>SUMPRODUCT(--((A2457=$A$3:$A$2785)*$H$3:$H$2785&gt;H2457))+1</f>
        <v>139</v>
      </c>
    </row>
    <row r="2458" s="1" customFormat="true" customHeight="true" spans="1:10">
      <c r="A2458" s="4" t="str">
        <f t="shared" si="296"/>
        <v>033</v>
      </c>
      <c r="B2458" s="4" t="s">
        <v>45</v>
      </c>
      <c r="C2458" s="4" t="str">
        <f>"瞿丽君"</f>
        <v>瞿丽君</v>
      </c>
      <c r="D2458" s="4" t="str">
        <f>"2021022905"</f>
        <v>2021022905</v>
      </c>
      <c r="E2458" s="4" t="str">
        <f t="shared" si="299"/>
        <v>29</v>
      </c>
      <c r="F2458" s="4" t="str">
        <f>"05"</f>
        <v>05</v>
      </c>
      <c r="G2458" s="4" t="s">
        <v>27</v>
      </c>
      <c r="H2458" s="5">
        <v>0</v>
      </c>
      <c r="I2458" s="6" t="s">
        <v>13</v>
      </c>
      <c r="J2458" s="4">
        <f>SUMPRODUCT(--((A2458=$A$3:$A$2785)*$H$3:$H$2785&gt;H2458))+1</f>
        <v>139</v>
      </c>
    </row>
    <row r="2459" s="1" customFormat="true" customHeight="true" spans="1:10">
      <c r="A2459" s="4" t="str">
        <f t="shared" si="296"/>
        <v>033</v>
      </c>
      <c r="B2459" s="4" t="s">
        <v>45</v>
      </c>
      <c r="C2459" s="4" t="str">
        <f>"胡廷娇"</f>
        <v>胡廷娇</v>
      </c>
      <c r="D2459" s="4" t="str">
        <f>"2021022907"</f>
        <v>2021022907</v>
      </c>
      <c r="E2459" s="4" t="str">
        <f t="shared" si="299"/>
        <v>29</v>
      </c>
      <c r="F2459" s="4" t="str">
        <f>"07"</f>
        <v>07</v>
      </c>
      <c r="G2459" s="4" t="s">
        <v>27</v>
      </c>
      <c r="H2459" s="5">
        <v>0</v>
      </c>
      <c r="I2459" s="6" t="s">
        <v>13</v>
      </c>
      <c r="J2459" s="4">
        <f>SUMPRODUCT(--((A2459=$A$3:$A$2785)*$H$3:$H$2785&gt;H2459))+1</f>
        <v>139</v>
      </c>
    </row>
    <row r="2460" s="1" customFormat="true" customHeight="true" spans="1:10">
      <c r="A2460" s="4" t="str">
        <f t="shared" si="296"/>
        <v>033</v>
      </c>
      <c r="B2460" s="4" t="s">
        <v>45</v>
      </c>
      <c r="C2460" s="4" t="str">
        <f>"夏腾腾"</f>
        <v>夏腾腾</v>
      </c>
      <c r="D2460" s="4" t="str">
        <f>"2021022911"</f>
        <v>2021022911</v>
      </c>
      <c r="E2460" s="4" t="str">
        <f t="shared" si="299"/>
        <v>29</v>
      </c>
      <c r="F2460" s="4" t="str">
        <f>"11"</f>
        <v>11</v>
      </c>
      <c r="G2460" s="4" t="s">
        <v>27</v>
      </c>
      <c r="H2460" s="5">
        <v>0</v>
      </c>
      <c r="I2460" s="6" t="s">
        <v>13</v>
      </c>
      <c r="J2460" s="4">
        <f>SUMPRODUCT(--((A2460=$A$3:$A$2785)*$H$3:$H$2785&gt;H2460))+1</f>
        <v>139</v>
      </c>
    </row>
    <row r="2461" s="1" customFormat="true" customHeight="true" spans="1:10">
      <c r="A2461" s="4" t="str">
        <f t="shared" si="296"/>
        <v>033</v>
      </c>
      <c r="B2461" s="4" t="s">
        <v>45</v>
      </c>
      <c r="C2461" s="4" t="str">
        <f>"米倩"</f>
        <v>米倩</v>
      </c>
      <c r="D2461" s="4" t="str">
        <f>"2021022912"</f>
        <v>2021022912</v>
      </c>
      <c r="E2461" s="4" t="str">
        <f t="shared" si="299"/>
        <v>29</v>
      </c>
      <c r="F2461" s="4" t="str">
        <f>"12"</f>
        <v>12</v>
      </c>
      <c r="G2461" s="4" t="s">
        <v>27</v>
      </c>
      <c r="H2461" s="5">
        <v>0</v>
      </c>
      <c r="I2461" s="6" t="s">
        <v>13</v>
      </c>
      <c r="J2461" s="4">
        <f>SUMPRODUCT(--((A2461=$A$3:$A$2785)*$H$3:$H$2785&gt;H2461))+1</f>
        <v>139</v>
      </c>
    </row>
    <row r="2462" s="1" customFormat="true" customHeight="true" spans="1:10">
      <c r="A2462" s="4" t="str">
        <f t="shared" si="296"/>
        <v>033</v>
      </c>
      <c r="B2462" s="4" t="s">
        <v>45</v>
      </c>
      <c r="C2462" s="4" t="str">
        <f>"欧阳琴"</f>
        <v>欧阳琴</v>
      </c>
      <c r="D2462" s="4" t="str">
        <f>"2021022913"</f>
        <v>2021022913</v>
      </c>
      <c r="E2462" s="4" t="str">
        <f t="shared" si="299"/>
        <v>29</v>
      </c>
      <c r="F2462" s="4" t="str">
        <f>"13"</f>
        <v>13</v>
      </c>
      <c r="G2462" s="4" t="s">
        <v>27</v>
      </c>
      <c r="H2462" s="5">
        <v>0</v>
      </c>
      <c r="I2462" s="6" t="s">
        <v>13</v>
      </c>
      <c r="J2462" s="4">
        <f>SUMPRODUCT(--((A2462=$A$3:$A$2785)*$H$3:$H$2785&gt;H2462))+1</f>
        <v>139</v>
      </c>
    </row>
    <row r="2463" s="1" customFormat="true" customHeight="true" spans="1:10">
      <c r="A2463" s="4" t="str">
        <f t="shared" si="296"/>
        <v>033</v>
      </c>
      <c r="B2463" s="4" t="s">
        <v>45</v>
      </c>
      <c r="C2463" s="4" t="str">
        <f>"周子一"</f>
        <v>周子一</v>
      </c>
      <c r="D2463" s="4" t="str">
        <f>"2021022914"</f>
        <v>2021022914</v>
      </c>
      <c r="E2463" s="4" t="str">
        <f t="shared" si="299"/>
        <v>29</v>
      </c>
      <c r="F2463" s="4" t="str">
        <f>"14"</f>
        <v>14</v>
      </c>
      <c r="G2463" s="4" t="s">
        <v>27</v>
      </c>
      <c r="H2463" s="5">
        <v>0</v>
      </c>
      <c r="I2463" s="6" t="s">
        <v>13</v>
      </c>
      <c r="J2463" s="4">
        <f>SUMPRODUCT(--((A2463=$A$3:$A$2785)*$H$3:$H$2785&gt;H2463))+1</f>
        <v>139</v>
      </c>
    </row>
    <row r="2464" s="1" customFormat="true" customHeight="true" spans="1:10">
      <c r="A2464" s="4" t="str">
        <f t="shared" si="296"/>
        <v>033</v>
      </c>
      <c r="B2464" s="4" t="s">
        <v>45</v>
      </c>
      <c r="C2464" s="4" t="str">
        <f>"陈思思"</f>
        <v>陈思思</v>
      </c>
      <c r="D2464" s="4" t="str">
        <f>"2021022916"</f>
        <v>2021022916</v>
      </c>
      <c r="E2464" s="4" t="str">
        <f t="shared" si="299"/>
        <v>29</v>
      </c>
      <c r="F2464" s="4" t="str">
        <f>"16"</f>
        <v>16</v>
      </c>
      <c r="G2464" s="4" t="s">
        <v>27</v>
      </c>
      <c r="H2464" s="5">
        <v>0</v>
      </c>
      <c r="I2464" s="6" t="s">
        <v>13</v>
      </c>
      <c r="J2464" s="4">
        <f>SUMPRODUCT(--((A2464=$A$3:$A$2785)*$H$3:$H$2785&gt;H2464))+1</f>
        <v>139</v>
      </c>
    </row>
    <row r="2465" s="1" customFormat="true" customHeight="true" spans="1:10">
      <c r="A2465" s="4" t="str">
        <f t="shared" si="296"/>
        <v>033</v>
      </c>
      <c r="B2465" s="4" t="s">
        <v>45</v>
      </c>
      <c r="C2465" s="4" t="str">
        <f>"陶湘陵"</f>
        <v>陶湘陵</v>
      </c>
      <c r="D2465" s="4" t="str">
        <f>"2021022925"</f>
        <v>2021022925</v>
      </c>
      <c r="E2465" s="4" t="str">
        <f t="shared" si="299"/>
        <v>29</v>
      </c>
      <c r="F2465" s="4" t="str">
        <f>"25"</f>
        <v>25</v>
      </c>
      <c r="G2465" s="4" t="s">
        <v>27</v>
      </c>
      <c r="H2465" s="5">
        <v>0</v>
      </c>
      <c r="I2465" s="6" t="s">
        <v>13</v>
      </c>
      <c r="J2465" s="4">
        <f>SUMPRODUCT(--((A2465=$A$3:$A$2785)*$H$3:$H$2785&gt;H2465))+1</f>
        <v>139</v>
      </c>
    </row>
    <row r="2466" s="1" customFormat="true" customHeight="true" spans="1:10">
      <c r="A2466" s="4" t="str">
        <f t="shared" si="296"/>
        <v>033</v>
      </c>
      <c r="B2466" s="4" t="s">
        <v>45</v>
      </c>
      <c r="C2466" s="4" t="str">
        <f>"李峰"</f>
        <v>李峰</v>
      </c>
      <c r="D2466" s="4" t="str">
        <f>"2021022927"</f>
        <v>2021022927</v>
      </c>
      <c r="E2466" s="4" t="str">
        <f t="shared" si="299"/>
        <v>29</v>
      </c>
      <c r="F2466" s="4" t="str">
        <f>"27"</f>
        <v>27</v>
      </c>
      <c r="G2466" s="4" t="s">
        <v>27</v>
      </c>
      <c r="H2466" s="5">
        <v>0</v>
      </c>
      <c r="I2466" s="6" t="s">
        <v>13</v>
      </c>
      <c r="J2466" s="4">
        <f>SUMPRODUCT(--((A2466=$A$3:$A$2785)*$H$3:$H$2785&gt;H2466))+1</f>
        <v>139</v>
      </c>
    </row>
    <row r="2467" s="1" customFormat="true" customHeight="true" spans="1:10">
      <c r="A2467" s="4" t="str">
        <f t="shared" si="296"/>
        <v>033</v>
      </c>
      <c r="B2467" s="4" t="s">
        <v>45</v>
      </c>
      <c r="C2467" s="4" t="str">
        <f>"罗留凤"</f>
        <v>罗留凤</v>
      </c>
      <c r="D2467" s="4" t="str">
        <f>"2021022928"</f>
        <v>2021022928</v>
      </c>
      <c r="E2467" s="4" t="str">
        <f t="shared" si="299"/>
        <v>29</v>
      </c>
      <c r="F2467" s="4" t="str">
        <f>"28"</f>
        <v>28</v>
      </c>
      <c r="G2467" s="4" t="s">
        <v>27</v>
      </c>
      <c r="H2467" s="5">
        <v>0</v>
      </c>
      <c r="I2467" s="6" t="s">
        <v>13</v>
      </c>
      <c r="J2467" s="4">
        <f>SUMPRODUCT(--((A2467=$A$3:$A$2785)*$H$3:$H$2785&gt;H2467))+1</f>
        <v>139</v>
      </c>
    </row>
    <row r="2468" s="1" customFormat="true" customHeight="true" spans="1:10">
      <c r="A2468" s="4" t="str">
        <f t="shared" si="296"/>
        <v>033</v>
      </c>
      <c r="B2468" s="4" t="s">
        <v>45</v>
      </c>
      <c r="C2468" s="4" t="str">
        <f>"蒋瑛子"</f>
        <v>蒋瑛子</v>
      </c>
      <c r="D2468" s="4" t="str">
        <f>"2021022930"</f>
        <v>2021022930</v>
      </c>
      <c r="E2468" s="4" t="str">
        <f t="shared" si="299"/>
        <v>29</v>
      </c>
      <c r="F2468" s="4" t="str">
        <f>"30"</f>
        <v>30</v>
      </c>
      <c r="G2468" s="4" t="s">
        <v>27</v>
      </c>
      <c r="H2468" s="5">
        <v>0</v>
      </c>
      <c r="I2468" s="6" t="s">
        <v>13</v>
      </c>
      <c r="J2468" s="4">
        <f>SUMPRODUCT(--((A2468=$A$3:$A$2785)*$H$3:$H$2785&gt;H2468))+1</f>
        <v>139</v>
      </c>
    </row>
    <row r="2469" s="1" customFormat="true" customHeight="true" spans="1:10">
      <c r="A2469" s="4" t="str">
        <f t="shared" si="296"/>
        <v>033</v>
      </c>
      <c r="B2469" s="4" t="s">
        <v>45</v>
      </c>
      <c r="C2469" s="4" t="str">
        <f>"李娟"</f>
        <v>李娟</v>
      </c>
      <c r="D2469" s="4" t="str">
        <f>"2021023006"</f>
        <v>2021023006</v>
      </c>
      <c r="E2469" s="4" t="str">
        <f t="shared" ref="E2469:E2474" si="300">"30"</f>
        <v>30</v>
      </c>
      <c r="F2469" s="4" t="str">
        <f>"06"</f>
        <v>06</v>
      </c>
      <c r="G2469" s="4" t="s">
        <v>27</v>
      </c>
      <c r="H2469" s="5">
        <v>0</v>
      </c>
      <c r="I2469" s="6" t="s">
        <v>13</v>
      </c>
      <c r="J2469" s="4">
        <f>SUMPRODUCT(--((A2469=$A$3:$A$2785)*$H$3:$H$2785&gt;H2469))+1</f>
        <v>139</v>
      </c>
    </row>
    <row r="2470" s="1" customFormat="true" customHeight="true" spans="1:10">
      <c r="A2470" s="4" t="str">
        <f t="shared" si="296"/>
        <v>033</v>
      </c>
      <c r="B2470" s="4" t="s">
        <v>45</v>
      </c>
      <c r="C2470" s="4" t="str">
        <f>"张彩丽"</f>
        <v>张彩丽</v>
      </c>
      <c r="D2470" s="4" t="str">
        <f>"2021023009"</f>
        <v>2021023009</v>
      </c>
      <c r="E2470" s="4" t="str">
        <f t="shared" si="300"/>
        <v>30</v>
      </c>
      <c r="F2470" s="4" t="str">
        <f>"09"</f>
        <v>09</v>
      </c>
      <c r="G2470" s="4" t="s">
        <v>27</v>
      </c>
      <c r="H2470" s="5">
        <v>0</v>
      </c>
      <c r="I2470" s="6" t="s">
        <v>13</v>
      </c>
      <c r="J2470" s="4">
        <f>SUMPRODUCT(--((A2470=$A$3:$A$2785)*$H$3:$H$2785&gt;H2470))+1</f>
        <v>139</v>
      </c>
    </row>
    <row r="2471" s="1" customFormat="true" customHeight="true" spans="1:10">
      <c r="A2471" s="4" t="str">
        <f t="shared" si="296"/>
        <v>033</v>
      </c>
      <c r="B2471" s="4" t="s">
        <v>45</v>
      </c>
      <c r="C2471" s="4" t="str">
        <f>"吕华华"</f>
        <v>吕华华</v>
      </c>
      <c r="D2471" s="4" t="str">
        <f>"2021023010"</f>
        <v>2021023010</v>
      </c>
      <c r="E2471" s="4" t="str">
        <f t="shared" si="300"/>
        <v>30</v>
      </c>
      <c r="F2471" s="4" t="str">
        <f>"10"</f>
        <v>10</v>
      </c>
      <c r="G2471" s="4" t="s">
        <v>27</v>
      </c>
      <c r="H2471" s="5">
        <v>0</v>
      </c>
      <c r="I2471" s="6" t="s">
        <v>13</v>
      </c>
      <c r="J2471" s="4">
        <f>SUMPRODUCT(--((A2471=$A$3:$A$2785)*$H$3:$H$2785&gt;H2471))+1</f>
        <v>139</v>
      </c>
    </row>
    <row r="2472" s="1" customFormat="true" customHeight="true" spans="1:10">
      <c r="A2472" s="4" t="str">
        <f t="shared" si="296"/>
        <v>033</v>
      </c>
      <c r="B2472" s="4" t="s">
        <v>45</v>
      </c>
      <c r="C2472" s="4" t="str">
        <f>"曾云亮"</f>
        <v>曾云亮</v>
      </c>
      <c r="D2472" s="4" t="str">
        <f>"2021023014"</f>
        <v>2021023014</v>
      </c>
      <c r="E2472" s="4" t="str">
        <f t="shared" si="300"/>
        <v>30</v>
      </c>
      <c r="F2472" s="4" t="str">
        <f>"14"</f>
        <v>14</v>
      </c>
      <c r="G2472" s="4" t="s">
        <v>27</v>
      </c>
      <c r="H2472" s="5">
        <v>0</v>
      </c>
      <c r="I2472" s="6" t="s">
        <v>13</v>
      </c>
      <c r="J2472" s="4">
        <f>SUMPRODUCT(--((A2472=$A$3:$A$2785)*$H$3:$H$2785&gt;H2472))+1</f>
        <v>139</v>
      </c>
    </row>
    <row r="2473" s="1" customFormat="true" customHeight="true" spans="1:10">
      <c r="A2473" s="4" t="str">
        <f t="shared" si="296"/>
        <v>033</v>
      </c>
      <c r="B2473" s="4" t="s">
        <v>45</v>
      </c>
      <c r="C2473" s="4" t="str">
        <f>"朱清"</f>
        <v>朱清</v>
      </c>
      <c r="D2473" s="4" t="str">
        <f>"2021023019"</f>
        <v>2021023019</v>
      </c>
      <c r="E2473" s="4" t="str">
        <f t="shared" si="300"/>
        <v>30</v>
      </c>
      <c r="F2473" s="4" t="str">
        <f>"19"</f>
        <v>19</v>
      </c>
      <c r="G2473" s="4" t="s">
        <v>27</v>
      </c>
      <c r="H2473" s="5">
        <v>0</v>
      </c>
      <c r="I2473" s="6" t="s">
        <v>13</v>
      </c>
      <c r="J2473" s="4">
        <f>SUMPRODUCT(--((A2473=$A$3:$A$2785)*$H$3:$H$2785&gt;H2473))+1</f>
        <v>139</v>
      </c>
    </row>
    <row r="2474" s="1" customFormat="true" customHeight="true" spans="1:10">
      <c r="A2474" s="4" t="str">
        <f t="shared" si="296"/>
        <v>033</v>
      </c>
      <c r="B2474" s="4" t="s">
        <v>45</v>
      </c>
      <c r="C2474" s="4" t="str">
        <f>"彭艳艳"</f>
        <v>彭艳艳</v>
      </c>
      <c r="D2474" s="4" t="str">
        <f>"2021023025"</f>
        <v>2021023025</v>
      </c>
      <c r="E2474" s="4" t="str">
        <f t="shared" si="300"/>
        <v>30</v>
      </c>
      <c r="F2474" s="4" t="str">
        <f>"25"</f>
        <v>25</v>
      </c>
      <c r="G2474" s="4" t="s">
        <v>27</v>
      </c>
      <c r="H2474" s="5">
        <v>0</v>
      </c>
      <c r="I2474" s="6" t="s">
        <v>13</v>
      </c>
      <c r="J2474" s="4">
        <f>SUMPRODUCT(--((A2474=$A$3:$A$2785)*$H$3:$H$2785&gt;H2474))+1</f>
        <v>139</v>
      </c>
    </row>
    <row r="2475" s="1" customFormat="true" customHeight="true" spans="1:10">
      <c r="A2475" s="4" t="str">
        <f t="shared" si="296"/>
        <v>033</v>
      </c>
      <c r="B2475" s="4" t="s">
        <v>45</v>
      </c>
      <c r="C2475" s="4" t="str">
        <f>"唐艺彬"</f>
        <v>唐艺彬</v>
      </c>
      <c r="D2475" s="4" t="str">
        <f>"2021023102"</f>
        <v>2021023102</v>
      </c>
      <c r="E2475" s="4" t="str">
        <f t="shared" ref="E2475:E2491" si="301">"31"</f>
        <v>31</v>
      </c>
      <c r="F2475" s="4" t="str">
        <f>"02"</f>
        <v>02</v>
      </c>
      <c r="G2475" s="4" t="s">
        <v>27</v>
      </c>
      <c r="H2475" s="5">
        <v>0</v>
      </c>
      <c r="I2475" s="6" t="s">
        <v>13</v>
      </c>
      <c r="J2475" s="4">
        <f>SUMPRODUCT(--((A2475=$A$3:$A$2785)*$H$3:$H$2785&gt;H2475))+1</f>
        <v>139</v>
      </c>
    </row>
    <row r="2476" s="1" customFormat="true" customHeight="true" spans="1:10">
      <c r="A2476" s="4" t="str">
        <f t="shared" si="296"/>
        <v>033</v>
      </c>
      <c r="B2476" s="4" t="s">
        <v>45</v>
      </c>
      <c r="C2476" s="4" t="str">
        <f>"覃晓芳"</f>
        <v>覃晓芳</v>
      </c>
      <c r="D2476" s="4" t="str">
        <f>"2021023103"</f>
        <v>2021023103</v>
      </c>
      <c r="E2476" s="4" t="str">
        <f t="shared" si="301"/>
        <v>31</v>
      </c>
      <c r="F2476" s="4" t="str">
        <f>"03"</f>
        <v>03</v>
      </c>
      <c r="G2476" s="4" t="s">
        <v>27</v>
      </c>
      <c r="H2476" s="5">
        <v>0</v>
      </c>
      <c r="I2476" s="6" t="s">
        <v>13</v>
      </c>
      <c r="J2476" s="4">
        <f>SUMPRODUCT(--((A2476=$A$3:$A$2785)*$H$3:$H$2785&gt;H2476))+1</f>
        <v>139</v>
      </c>
    </row>
    <row r="2477" s="1" customFormat="true" customHeight="true" spans="1:10">
      <c r="A2477" s="4" t="str">
        <f t="shared" si="296"/>
        <v>033</v>
      </c>
      <c r="B2477" s="4" t="s">
        <v>45</v>
      </c>
      <c r="C2477" s="4" t="str">
        <f>"陈家婷"</f>
        <v>陈家婷</v>
      </c>
      <c r="D2477" s="4" t="str">
        <f>"2021023106"</f>
        <v>2021023106</v>
      </c>
      <c r="E2477" s="4" t="str">
        <f t="shared" si="301"/>
        <v>31</v>
      </c>
      <c r="F2477" s="4" t="str">
        <f>"06"</f>
        <v>06</v>
      </c>
      <c r="G2477" s="4" t="s">
        <v>27</v>
      </c>
      <c r="H2477" s="5">
        <v>0</v>
      </c>
      <c r="I2477" s="6" t="s">
        <v>13</v>
      </c>
      <c r="J2477" s="4">
        <f>SUMPRODUCT(--((A2477=$A$3:$A$2785)*$H$3:$H$2785&gt;H2477))+1</f>
        <v>139</v>
      </c>
    </row>
    <row r="2478" s="1" customFormat="true" customHeight="true" spans="1:10">
      <c r="A2478" s="4" t="str">
        <f t="shared" si="296"/>
        <v>033</v>
      </c>
      <c r="B2478" s="4" t="s">
        <v>45</v>
      </c>
      <c r="C2478" s="4" t="str">
        <f>"毛程程"</f>
        <v>毛程程</v>
      </c>
      <c r="D2478" s="4" t="str">
        <f>"2021023107"</f>
        <v>2021023107</v>
      </c>
      <c r="E2478" s="4" t="str">
        <f t="shared" si="301"/>
        <v>31</v>
      </c>
      <c r="F2478" s="4" t="str">
        <f>"07"</f>
        <v>07</v>
      </c>
      <c r="G2478" s="4" t="s">
        <v>27</v>
      </c>
      <c r="H2478" s="5">
        <v>0</v>
      </c>
      <c r="I2478" s="6" t="s">
        <v>13</v>
      </c>
      <c r="J2478" s="4">
        <f>SUMPRODUCT(--((A2478=$A$3:$A$2785)*$H$3:$H$2785&gt;H2478))+1</f>
        <v>139</v>
      </c>
    </row>
    <row r="2479" s="1" customFormat="true" customHeight="true" spans="1:10">
      <c r="A2479" s="4" t="str">
        <f t="shared" si="296"/>
        <v>033</v>
      </c>
      <c r="B2479" s="4" t="s">
        <v>45</v>
      </c>
      <c r="C2479" s="4" t="str">
        <f>"龙辉艳"</f>
        <v>龙辉艳</v>
      </c>
      <c r="D2479" s="4" t="str">
        <f>"2021023109"</f>
        <v>2021023109</v>
      </c>
      <c r="E2479" s="4" t="str">
        <f t="shared" si="301"/>
        <v>31</v>
      </c>
      <c r="F2479" s="4" t="str">
        <f>"09"</f>
        <v>09</v>
      </c>
      <c r="G2479" s="4" t="s">
        <v>27</v>
      </c>
      <c r="H2479" s="5">
        <v>0</v>
      </c>
      <c r="I2479" s="6" t="s">
        <v>13</v>
      </c>
      <c r="J2479" s="4">
        <f>SUMPRODUCT(--((A2479=$A$3:$A$2785)*$H$3:$H$2785&gt;H2479))+1</f>
        <v>139</v>
      </c>
    </row>
    <row r="2480" s="1" customFormat="true" customHeight="true" spans="1:10">
      <c r="A2480" s="4" t="str">
        <f t="shared" si="296"/>
        <v>033</v>
      </c>
      <c r="B2480" s="4" t="s">
        <v>45</v>
      </c>
      <c r="C2480" s="4" t="str">
        <f>"蒲小青"</f>
        <v>蒲小青</v>
      </c>
      <c r="D2480" s="4" t="str">
        <f>"2021023112"</f>
        <v>2021023112</v>
      </c>
      <c r="E2480" s="4" t="str">
        <f t="shared" si="301"/>
        <v>31</v>
      </c>
      <c r="F2480" s="4" t="str">
        <f>"12"</f>
        <v>12</v>
      </c>
      <c r="G2480" s="4" t="s">
        <v>27</v>
      </c>
      <c r="H2480" s="5">
        <v>0</v>
      </c>
      <c r="I2480" s="6" t="s">
        <v>13</v>
      </c>
      <c r="J2480" s="4">
        <f>SUMPRODUCT(--((A2480=$A$3:$A$2785)*$H$3:$H$2785&gt;H2480))+1</f>
        <v>139</v>
      </c>
    </row>
    <row r="2481" s="1" customFormat="true" customHeight="true" spans="1:10">
      <c r="A2481" s="4" t="str">
        <f t="shared" si="296"/>
        <v>033</v>
      </c>
      <c r="B2481" s="4" t="s">
        <v>45</v>
      </c>
      <c r="C2481" s="4" t="str">
        <f>"王庄琦"</f>
        <v>王庄琦</v>
      </c>
      <c r="D2481" s="4" t="str">
        <f>"2021023113"</f>
        <v>2021023113</v>
      </c>
      <c r="E2481" s="4" t="str">
        <f t="shared" si="301"/>
        <v>31</v>
      </c>
      <c r="F2481" s="4" t="str">
        <f>"13"</f>
        <v>13</v>
      </c>
      <c r="G2481" s="4" t="s">
        <v>27</v>
      </c>
      <c r="H2481" s="5">
        <v>0</v>
      </c>
      <c r="I2481" s="6" t="s">
        <v>13</v>
      </c>
      <c r="J2481" s="4">
        <f>SUMPRODUCT(--((A2481=$A$3:$A$2785)*$H$3:$H$2785&gt;H2481))+1</f>
        <v>139</v>
      </c>
    </row>
    <row r="2482" s="1" customFormat="true" customHeight="true" spans="1:10">
      <c r="A2482" s="4" t="str">
        <f t="shared" si="296"/>
        <v>033</v>
      </c>
      <c r="B2482" s="4" t="s">
        <v>45</v>
      </c>
      <c r="C2482" s="4" t="str">
        <f>"向美俊"</f>
        <v>向美俊</v>
      </c>
      <c r="D2482" s="4" t="str">
        <f>"2021023114"</f>
        <v>2021023114</v>
      </c>
      <c r="E2482" s="4" t="str">
        <f t="shared" si="301"/>
        <v>31</v>
      </c>
      <c r="F2482" s="4" t="str">
        <f>"14"</f>
        <v>14</v>
      </c>
      <c r="G2482" s="4" t="s">
        <v>27</v>
      </c>
      <c r="H2482" s="5">
        <v>0</v>
      </c>
      <c r="I2482" s="6" t="s">
        <v>13</v>
      </c>
      <c r="J2482" s="4">
        <f>SUMPRODUCT(--((A2482=$A$3:$A$2785)*$H$3:$H$2785&gt;H2482))+1</f>
        <v>139</v>
      </c>
    </row>
    <row r="2483" s="1" customFormat="true" customHeight="true" spans="1:10">
      <c r="A2483" s="4" t="str">
        <f t="shared" si="296"/>
        <v>033</v>
      </c>
      <c r="B2483" s="4" t="s">
        <v>45</v>
      </c>
      <c r="C2483" s="4" t="str">
        <f>"陈雅洁"</f>
        <v>陈雅洁</v>
      </c>
      <c r="D2483" s="4" t="str">
        <f>"2021023115"</f>
        <v>2021023115</v>
      </c>
      <c r="E2483" s="4" t="str">
        <f t="shared" si="301"/>
        <v>31</v>
      </c>
      <c r="F2483" s="4" t="str">
        <f>"15"</f>
        <v>15</v>
      </c>
      <c r="G2483" s="4" t="s">
        <v>27</v>
      </c>
      <c r="H2483" s="5">
        <v>0</v>
      </c>
      <c r="I2483" s="6" t="s">
        <v>13</v>
      </c>
      <c r="J2483" s="4">
        <f>SUMPRODUCT(--((A2483=$A$3:$A$2785)*$H$3:$H$2785&gt;H2483))+1</f>
        <v>139</v>
      </c>
    </row>
    <row r="2484" s="1" customFormat="true" customHeight="true" spans="1:10">
      <c r="A2484" s="4" t="str">
        <f t="shared" si="296"/>
        <v>033</v>
      </c>
      <c r="B2484" s="4" t="s">
        <v>45</v>
      </c>
      <c r="C2484" s="4" t="str">
        <f>"滕夏英"</f>
        <v>滕夏英</v>
      </c>
      <c r="D2484" s="4" t="str">
        <f>"2021023116"</f>
        <v>2021023116</v>
      </c>
      <c r="E2484" s="4" t="str">
        <f t="shared" si="301"/>
        <v>31</v>
      </c>
      <c r="F2484" s="4" t="str">
        <f>"16"</f>
        <v>16</v>
      </c>
      <c r="G2484" s="4" t="s">
        <v>27</v>
      </c>
      <c r="H2484" s="5">
        <v>0</v>
      </c>
      <c r="I2484" s="6" t="s">
        <v>13</v>
      </c>
      <c r="J2484" s="4">
        <f>SUMPRODUCT(--((A2484=$A$3:$A$2785)*$H$3:$H$2785&gt;H2484))+1</f>
        <v>139</v>
      </c>
    </row>
    <row r="2485" s="1" customFormat="true" customHeight="true" spans="1:10">
      <c r="A2485" s="4" t="str">
        <f t="shared" si="296"/>
        <v>033</v>
      </c>
      <c r="B2485" s="4" t="s">
        <v>45</v>
      </c>
      <c r="C2485" s="4" t="str">
        <f>"代丹"</f>
        <v>代丹</v>
      </c>
      <c r="D2485" s="4" t="str">
        <f>"2021023118"</f>
        <v>2021023118</v>
      </c>
      <c r="E2485" s="4" t="str">
        <f t="shared" si="301"/>
        <v>31</v>
      </c>
      <c r="F2485" s="4" t="str">
        <f>"18"</f>
        <v>18</v>
      </c>
      <c r="G2485" s="4" t="s">
        <v>27</v>
      </c>
      <c r="H2485" s="5">
        <v>0</v>
      </c>
      <c r="I2485" s="6" t="s">
        <v>13</v>
      </c>
      <c r="J2485" s="4">
        <f>SUMPRODUCT(--((A2485=$A$3:$A$2785)*$H$3:$H$2785&gt;H2485))+1</f>
        <v>139</v>
      </c>
    </row>
    <row r="2486" s="1" customFormat="true" customHeight="true" spans="1:10">
      <c r="A2486" s="4" t="str">
        <f t="shared" si="296"/>
        <v>033</v>
      </c>
      <c r="B2486" s="4" t="s">
        <v>45</v>
      </c>
      <c r="C2486" s="4" t="str">
        <f>"段小婷"</f>
        <v>段小婷</v>
      </c>
      <c r="D2486" s="4" t="str">
        <f>"2021023119"</f>
        <v>2021023119</v>
      </c>
      <c r="E2486" s="4" t="str">
        <f t="shared" si="301"/>
        <v>31</v>
      </c>
      <c r="F2486" s="4" t="str">
        <f>"19"</f>
        <v>19</v>
      </c>
      <c r="G2486" s="4" t="s">
        <v>27</v>
      </c>
      <c r="H2486" s="5">
        <v>0</v>
      </c>
      <c r="I2486" s="6" t="s">
        <v>13</v>
      </c>
      <c r="J2486" s="4">
        <f>SUMPRODUCT(--((A2486=$A$3:$A$2785)*$H$3:$H$2785&gt;H2486))+1</f>
        <v>139</v>
      </c>
    </row>
    <row r="2487" s="1" customFormat="true" customHeight="true" spans="1:10">
      <c r="A2487" s="4" t="str">
        <f t="shared" si="296"/>
        <v>033</v>
      </c>
      <c r="B2487" s="4" t="s">
        <v>45</v>
      </c>
      <c r="C2487" s="4" t="str">
        <f>"管琳"</f>
        <v>管琳</v>
      </c>
      <c r="D2487" s="4" t="str">
        <f>"2021023122"</f>
        <v>2021023122</v>
      </c>
      <c r="E2487" s="4" t="str">
        <f t="shared" si="301"/>
        <v>31</v>
      </c>
      <c r="F2487" s="4" t="str">
        <f>"22"</f>
        <v>22</v>
      </c>
      <c r="G2487" s="4" t="s">
        <v>27</v>
      </c>
      <c r="H2487" s="5">
        <v>0</v>
      </c>
      <c r="I2487" s="6" t="s">
        <v>13</v>
      </c>
      <c r="J2487" s="4">
        <f>SUMPRODUCT(--((A2487=$A$3:$A$2785)*$H$3:$H$2785&gt;H2487))+1</f>
        <v>139</v>
      </c>
    </row>
    <row r="2488" s="1" customFormat="true" customHeight="true" spans="1:10">
      <c r="A2488" s="4" t="str">
        <f t="shared" si="296"/>
        <v>033</v>
      </c>
      <c r="B2488" s="4" t="s">
        <v>45</v>
      </c>
      <c r="C2488" s="4" t="str">
        <f>"杨敬"</f>
        <v>杨敬</v>
      </c>
      <c r="D2488" s="4" t="str">
        <f>"2021023123"</f>
        <v>2021023123</v>
      </c>
      <c r="E2488" s="4" t="str">
        <f t="shared" si="301"/>
        <v>31</v>
      </c>
      <c r="F2488" s="4" t="str">
        <f>"23"</f>
        <v>23</v>
      </c>
      <c r="G2488" s="4" t="s">
        <v>27</v>
      </c>
      <c r="H2488" s="5">
        <v>0</v>
      </c>
      <c r="I2488" s="6" t="s">
        <v>13</v>
      </c>
      <c r="J2488" s="4">
        <f>SUMPRODUCT(--((A2488=$A$3:$A$2785)*$H$3:$H$2785&gt;H2488))+1</f>
        <v>139</v>
      </c>
    </row>
    <row r="2489" s="1" customFormat="true" customHeight="true" spans="1:10">
      <c r="A2489" s="4" t="str">
        <f t="shared" si="296"/>
        <v>033</v>
      </c>
      <c r="B2489" s="4" t="s">
        <v>45</v>
      </c>
      <c r="C2489" s="4" t="str">
        <f>"李林"</f>
        <v>李林</v>
      </c>
      <c r="D2489" s="4" t="str">
        <f>"2021023126"</f>
        <v>2021023126</v>
      </c>
      <c r="E2489" s="4" t="str">
        <f t="shared" si="301"/>
        <v>31</v>
      </c>
      <c r="F2489" s="4" t="str">
        <f>"26"</f>
        <v>26</v>
      </c>
      <c r="G2489" s="4" t="s">
        <v>27</v>
      </c>
      <c r="H2489" s="5">
        <v>0</v>
      </c>
      <c r="I2489" s="6" t="s">
        <v>13</v>
      </c>
      <c r="J2489" s="4">
        <f>SUMPRODUCT(--((A2489=$A$3:$A$2785)*$H$3:$H$2785&gt;H2489))+1</f>
        <v>139</v>
      </c>
    </row>
    <row r="2490" s="1" customFormat="true" customHeight="true" spans="1:10">
      <c r="A2490" s="4" t="str">
        <f t="shared" si="296"/>
        <v>033</v>
      </c>
      <c r="B2490" s="4" t="s">
        <v>45</v>
      </c>
      <c r="C2490" s="4" t="str">
        <f>"陈倩倩"</f>
        <v>陈倩倩</v>
      </c>
      <c r="D2490" s="4" t="str">
        <f>"2021023127"</f>
        <v>2021023127</v>
      </c>
      <c r="E2490" s="4" t="str">
        <f t="shared" si="301"/>
        <v>31</v>
      </c>
      <c r="F2490" s="4" t="str">
        <f>"27"</f>
        <v>27</v>
      </c>
      <c r="G2490" s="4" t="s">
        <v>27</v>
      </c>
      <c r="H2490" s="5">
        <v>0</v>
      </c>
      <c r="I2490" s="6" t="s">
        <v>13</v>
      </c>
      <c r="J2490" s="4">
        <f>SUMPRODUCT(--((A2490=$A$3:$A$2785)*$H$3:$H$2785&gt;H2490))+1</f>
        <v>139</v>
      </c>
    </row>
    <row r="2491" s="1" customFormat="true" customHeight="true" spans="1:10">
      <c r="A2491" s="4" t="str">
        <f t="shared" si="296"/>
        <v>033</v>
      </c>
      <c r="B2491" s="4" t="s">
        <v>45</v>
      </c>
      <c r="C2491" s="4" t="str">
        <f>"罗静"</f>
        <v>罗静</v>
      </c>
      <c r="D2491" s="4" t="str">
        <f>"2021023129"</f>
        <v>2021023129</v>
      </c>
      <c r="E2491" s="4" t="str">
        <f t="shared" si="301"/>
        <v>31</v>
      </c>
      <c r="F2491" s="4" t="str">
        <f>"29"</f>
        <v>29</v>
      </c>
      <c r="G2491" s="4" t="s">
        <v>27</v>
      </c>
      <c r="H2491" s="5">
        <v>0</v>
      </c>
      <c r="I2491" s="6" t="s">
        <v>13</v>
      </c>
      <c r="J2491" s="4">
        <f>SUMPRODUCT(--((A2491=$A$3:$A$2785)*$H$3:$H$2785&gt;H2491))+1</f>
        <v>139</v>
      </c>
    </row>
    <row r="2492" s="1" customFormat="true" customHeight="true" spans="1:10">
      <c r="A2492" s="4" t="str">
        <f t="shared" si="296"/>
        <v>033</v>
      </c>
      <c r="B2492" s="4" t="s">
        <v>45</v>
      </c>
      <c r="C2492" s="4" t="str">
        <f>"张鑫莉"</f>
        <v>张鑫莉</v>
      </c>
      <c r="D2492" s="4" t="str">
        <f>"2021023204"</f>
        <v>2021023204</v>
      </c>
      <c r="E2492" s="4" t="str">
        <f t="shared" ref="E2492:E2505" si="302">"32"</f>
        <v>32</v>
      </c>
      <c r="F2492" s="4" t="str">
        <f>"04"</f>
        <v>04</v>
      </c>
      <c r="G2492" s="4" t="s">
        <v>27</v>
      </c>
      <c r="H2492" s="5">
        <v>0</v>
      </c>
      <c r="I2492" s="6" t="s">
        <v>13</v>
      </c>
      <c r="J2492" s="4">
        <f>SUMPRODUCT(--((A2492=$A$3:$A$2785)*$H$3:$H$2785&gt;H2492))+1</f>
        <v>139</v>
      </c>
    </row>
    <row r="2493" s="1" customFormat="true" customHeight="true" spans="1:10">
      <c r="A2493" s="4" t="str">
        <f t="shared" si="296"/>
        <v>033</v>
      </c>
      <c r="B2493" s="4" t="s">
        <v>45</v>
      </c>
      <c r="C2493" s="4" t="str">
        <f>"房亿文"</f>
        <v>房亿文</v>
      </c>
      <c r="D2493" s="4" t="str">
        <f>"2021023210"</f>
        <v>2021023210</v>
      </c>
      <c r="E2493" s="4" t="str">
        <f t="shared" si="302"/>
        <v>32</v>
      </c>
      <c r="F2493" s="4" t="str">
        <f>"10"</f>
        <v>10</v>
      </c>
      <c r="G2493" s="4" t="s">
        <v>27</v>
      </c>
      <c r="H2493" s="5">
        <v>0</v>
      </c>
      <c r="I2493" s="6" t="s">
        <v>13</v>
      </c>
      <c r="J2493" s="4">
        <f>SUMPRODUCT(--((A2493=$A$3:$A$2785)*$H$3:$H$2785&gt;H2493))+1</f>
        <v>139</v>
      </c>
    </row>
    <row r="2494" s="1" customFormat="true" customHeight="true" spans="1:10">
      <c r="A2494" s="4" t="str">
        <f t="shared" si="296"/>
        <v>033</v>
      </c>
      <c r="B2494" s="4" t="s">
        <v>45</v>
      </c>
      <c r="C2494" s="4" t="str">
        <f>"伍春昊"</f>
        <v>伍春昊</v>
      </c>
      <c r="D2494" s="4" t="str">
        <f>"2021023213"</f>
        <v>2021023213</v>
      </c>
      <c r="E2494" s="4" t="str">
        <f t="shared" si="302"/>
        <v>32</v>
      </c>
      <c r="F2494" s="4" t="str">
        <f>"13"</f>
        <v>13</v>
      </c>
      <c r="G2494" s="4" t="s">
        <v>27</v>
      </c>
      <c r="H2494" s="5">
        <v>0</v>
      </c>
      <c r="I2494" s="6" t="s">
        <v>13</v>
      </c>
      <c r="J2494" s="4">
        <f>SUMPRODUCT(--((A2494=$A$3:$A$2785)*$H$3:$H$2785&gt;H2494))+1</f>
        <v>139</v>
      </c>
    </row>
    <row r="2495" s="1" customFormat="true" customHeight="true" spans="1:10">
      <c r="A2495" s="4" t="str">
        <f t="shared" si="296"/>
        <v>033</v>
      </c>
      <c r="B2495" s="4" t="s">
        <v>45</v>
      </c>
      <c r="C2495" s="4" t="str">
        <f>"唐敏敏"</f>
        <v>唐敏敏</v>
      </c>
      <c r="D2495" s="4" t="str">
        <f>"2021023215"</f>
        <v>2021023215</v>
      </c>
      <c r="E2495" s="4" t="str">
        <f t="shared" si="302"/>
        <v>32</v>
      </c>
      <c r="F2495" s="4" t="str">
        <f>"15"</f>
        <v>15</v>
      </c>
      <c r="G2495" s="4" t="s">
        <v>27</v>
      </c>
      <c r="H2495" s="5">
        <v>0</v>
      </c>
      <c r="I2495" s="6" t="s">
        <v>13</v>
      </c>
      <c r="J2495" s="4">
        <f>SUMPRODUCT(--((A2495=$A$3:$A$2785)*$H$3:$H$2785&gt;H2495))+1</f>
        <v>139</v>
      </c>
    </row>
    <row r="2496" s="1" customFormat="true" customHeight="true" spans="1:10">
      <c r="A2496" s="4" t="str">
        <f t="shared" si="296"/>
        <v>033</v>
      </c>
      <c r="B2496" s="4" t="s">
        <v>45</v>
      </c>
      <c r="C2496" s="4" t="str">
        <f>"钟娟"</f>
        <v>钟娟</v>
      </c>
      <c r="D2496" s="4" t="str">
        <f>"2021023217"</f>
        <v>2021023217</v>
      </c>
      <c r="E2496" s="4" t="str">
        <f t="shared" si="302"/>
        <v>32</v>
      </c>
      <c r="F2496" s="4" t="str">
        <f>"17"</f>
        <v>17</v>
      </c>
      <c r="G2496" s="4" t="s">
        <v>27</v>
      </c>
      <c r="H2496" s="5">
        <v>0</v>
      </c>
      <c r="I2496" s="6" t="s">
        <v>13</v>
      </c>
      <c r="J2496" s="4">
        <f>SUMPRODUCT(--((A2496=$A$3:$A$2785)*$H$3:$H$2785&gt;H2496))+1</f>
        <v>139</v>
      </c>
    </row>
    <row r="2497" s="1" customFormat="true" customHeight="true" spans="1:10">
      <c r="A2497" s="4" t="str">
        <f t="shared" ref="A2497:A2519" si="303">"033"</f>
        <v>033</v>
      </c>
      <c r="B2497" s="4" t="s">
        <v>45</v>
      </c>
      <c r="C2497" s="4" t="str">
        <f>"张克群"</f>
        <v>张克群</v>
      </c>
      <c r="D2497" s="4" t="str">
        <f>"2021023218"</f>
        <v>2021023218</v>
      </c>
      <c r="E2497" s="4" t="str">
        <f t="shared" si="302"/>
        <v>32</v>
      </c>
      <c r="F2497" s="4" t="str">
        <f>"18"</f>
        <v>18</v>
      </c>
      <c r="G2497" s="4" t="s">
        <v>27</v>
      </c>
      <c r="H2497" s="5">
        <v>0</v>
      </c>
      <c r="I2497" s="6" t="s">
        <v>13</v>
      </c>
      <c r="J2497" s="4">
        <f>SUMPRODUCT(--((A2497=$A$3:$A$2785)*$H$3:$H$2785&gt;H2497))+1</f>
        <v>139</v>
      </c>
    </row>
    <row r="2498" s="1" customFormat="true" customHeight="true" spans="1:10">
      <c r="A2498" s="4" t="str">
        <f t="shared" si="303"/>
        <v>033</v>
      </c>
      <c r="B2498" s="4" t="s">
        <v>45</v>
      </c>
      <c r="C2498" s="4" t="str">
        <f>"周婷"</f>
        <v>周婷</v>
      </c>
      <c r="D2498" s="4" t="str">
        <f>"2021023220"</f>
        <v>2021023220</v>
      </c>
      <c r="E2498" s="4" t="str">
        <f t="shared" si="302"/>
        <v>32</v>
      </c>
      <c r="F2498" s="4" t="str">
        <f>"20"</f>
        <v>20</v>
      </c>
      <c r="G2498" s="4" t="s">
        <v>27</v>
      </c>
      <c r="H2498" s="5">
        <v>0</v>
      </c>
      <c r="I2498" s="6" t="s">
        <v>13</v>
      </c>
      <c r="J2498" s="4">
        <f>SUMPRODUCT(--((A2498=$A$3:$A$2785)*$H$3:$H$2785&gt;H2498))+1</f>
        <v>139</v>
      </c>
    </row>
    <row r="2499" s="1" customFormat="true" customHeight="true" spans="1:10">
      <c r="A2499" s="4" t="str">
        <f t="shared" si="303"/>
        <v>033</v>
      </c>
      <c r="B2499" s="4" t="s">
        <v>45</v>
      </c>
      <c r="C2499" s="4" t="str">
        <f>"向瑞惠"</f>
        <v>向瑞惠</v>
      </c>
      <c r="D2499" s="4" t="str">
        <f>"2021023221"</f>
        <v>2021023221</v>
      </c>
      <c r="E2499" s="4" t="str">
        <f t="shared" si="302"/>
        <v>32</v>
      </c>
      <c r="F2499" s="4" t="str">
        <f>"21"</f>
        <v>21</v>
      </c>
      <c r="G2499" s="4" t="s">
        <v>27</v>
      </c>
      <c r="H2499" s="5">
        <v>0</v>
      </c>
      <c r="I2499" s="6" t="s">
        <v>13</v>
      </c>
      <c r="J2499" s="4">
        <f>SUMPRODUCT(--((A2499=$A$3:$A$2785)*$H$3:$H$2785&gt;H2499))+1</f>
        <v>139</v>
      </c>
    </row>
    <row r="2500" s="1" customFormat="true" customHeight="true" spans="1:10">
      <c r="A2500" s="4" t="str">
        <f t="shared" si="303"/>
        <v>033</v>
      </c>
      <c r="B2500" s="4" t="s">
        <v>45</v>
      </c>
      <c r="C2500" s="4" t="str">
        <f>"孙小梅"</f>
        <v>孙小梅</v>
      </c>
      <c r="D2500" s="4" t="str">
        <f>"2021023222"</f>
        <v>2021023222</v>
      </c>
      <c r="E2500" s="4" t="str">
        <f t="shared" si="302"/>
        <v>32</v>
      </c>
      <c r="F2500" s="4" t="str">
        <f>"22"</f>
        <v>22</v>
      </c>
      <c r="G2500" s="4" t="s">
        <v>27</v>
      </c>
      <c r="H2500" s="5">
        <v>0</v>
      </c>
      <c r="I2500" s="6" t="s">
        <v>13</v>
      </c>
      <c r="J2500" s="4">
        <f>SUMPRODUCT(--((A2500=$A$3:$A$2785)*$H$3:$H$2785&gt;H2500))+1</f>
        <v>139</v>
      </c>
    </row>
    <row r="2501" s="1" customFormat="true" customHeight="true" spans="1:10">
      <c r="A2501" s="4" t="str">
        <f t="shared" si="303"/>
        <v>033</v>
      </c>
      <c r="B2501" s="4" t="s">
        <v>45</v>
      </c>
      <c r="C2501" s="4" t="str">
        <f>"杨倩"</f>
        <v>杨倩</v>
      </c>
      <c r="D2501" s="4" t="str">
        <f>"2021023223"</f>
        <v>2021023223</v>
      </c>
      <c r="E2501" s="4" t="str">
        <f t="shared" si="302"/>
        <v>32</v>
      </c>
      <c r="F2501" s="4" t="str">
        <f>"23"</f>
        <v>23</v>
      </c>
      <c r="G2501" s="4" t="s">
        <v>27</v>
      </c>
      <c r="H2501" s="5">
        <v>0</v>
      </c>
      <c r="I2501" s="6" t="s">
        <v>13</v>
      </c>
      <c r="J2501" s="4">
        <f>SUMPRODUCT(--((A2501=$A$3:$A$2785)*$H$3:$H$2785&gt;H2501))+1</f>
        <v>139</v>
      </c>
    </row>
    <row r="2502" s="1" customFormat="true" customHeight="true" spans="1:10">
      <c r="A2502" s="4" t="str">
        <f t="shared" si="303"/>
        <v>033</v>
      </c>
      <c r="B2502" s="4" t="s">
        <v>45</v>
      </c>
      <c r="C2502" s="4" t="str">
        <f>"麻春"</f>
        <v>麻春</v>
      </c>
      <c r="D2502" s="4" t="str">
        <f>"2021023224"</f>
        <v>2021023224</v>
      </c>
      <c r="E2502" s="4" t="str">
        <f t="shared" si="302"/>
        <v>32</v>
      </c>
      <c r="F2502" s="4" t="str">
        <f>"24"</f>
        <v>24</v>
      </c>
      <c r="G2502" s="4" t="s">
        <v>27</v>
      </c>
      <c r="H2502" s="5">
        <v>0</v>
      </c>
      <c r="I2502" s="6" t="s">
        <v>13</v>
      </c>
      <c r="J2502" s="4">
        <f>SUMPRODUCT(--((A2502=$A$3:$A$2785)*$H$3:$H$2785&gt;H2502))+1</f>
        <v>139</v>
      </c>
    </row>
    <row r="2503" s="1" customFormat="true" customHeight="true" spans="1:10">
      <c r="A2503" s="4" t="str">
        <f t="shared" si="303"/>
        <v>033</v>
      </c>
      <c r="B2503" s="4" t="s">
        <v>45</v>
      </c>
      <c r="C2503" s="4" t="str">
        <f>"肖越"</f>
        <v>肖越</v>
      </c>
      <c r="D2503" s="4" t="str">
        <f>"2021023226"</f>
        <v>2021023226</v>
      </c>
      <c r="E2503" s="4" t="str">
        <f t="shared" si="302"/>
        <v>32</v>
      </c>
      <c r="F2503" s="4" t="str">
        <f>"26"</f>
        <v>26</v>
      </c>
      <c r="G2503" s="4" t="s">
        <v>27</v>
      </c>
      <c r="H2503" s="5">
        <v>0</v>
      </c>
      <c r="I2503" s="6" t="s">
        <v>13</v>
      </c>
      <c r="J2503" s="4">
        <f>SUMPRODUCT(--((A2503=$A$3:$A$2785)*$H$3:$H$2785&gt;H2503))+1</f>
        <v>139</v>
      </c>
    </row>
    <row r="2504" s="1" customFormat="true" customHeight="true" spans="1:10">
      <c r="A2504" s="4" t="str">
        <f t="shared" si="303"/>
        <v>033</v>
      </c>
      <c r="B2504" s="4" t="s">
        <v>45</v>
      </c>
      <c r="C2504" s="4" t="str">
        <f>"周莉"</f>
        <v>周莉</v>
      </c>
      <c r="D2504" s="4" t="str">
        <f>"2021023227"</f>
        <v>2021023227</v>
      </c>
      <c r="E2504" s="4" t="str">
        <f t="shared" si="302"/>
        <v>32</v>
      </c>
      <c r="F2504" s="4" t="str">
        <f>"27"</f>
        <v>27</v>
      </c>
      <c r="G2504" s="4" t="s">
        <v>27</v>
      </c>
      <c r="H2504" s="5">
        <v>0</v>
      </c>
      <c r="I2504" s="6" t="s">
        <v>13</v>
      </c>
      <c r="J2504" s="4">
        <f>SUMPRODUCT(--((A2504=$A$3:$A$2785)*$H$3:$H$2785&gt;H2504))+1</f>
        <v>139</v>
      </c>
    </row>
    <row r="2505" s="1" customFormat="true" customHeight="true" spans="1:10">
      <c r="A2505" s="4" t="str">
        <f t="shared" si="303"/>
        <v>033</v>
      </c>
      <c r="B2505" s="4" t="s">
        <v>45</v>
      </c>
      <c r="C2505" s="4" t="str">
        <f>"江丹"</f>
        <v>江丹</v>
      </c>
      <c r="D2505" s="4" t="str">
        <f>"2021023229"</f>
        <v>2021023229</v>
      </c>
      <c r="E2505" s="4" t="str">
        <f t="shared" si="302"/>
        <v>32</v>
      </c>
      <c r="F2505" s="4" t="str">
        <f>"29"</f>
        <v>29</v>
      </c>
      <c r="G2505" s="4" t="s">
        <v>27</v>
      </c>
      <c r="H2505" s="5">
        <v>0</v>
      </c>
      <c r="I2505" s="6" t="s">
        <v>13</v>
      </c>
      <c r="J2505" s="4">
        <f>SUMPRODUCT(--((A2505=$A$3:$A$2785)*$H$3:$H$2785&gt;H2505))+1</f>
        <v>139</v>
      </c>
    </row>
    <row r="2506" s="1" customFormat="true" customHeight="true" spans="1:10">
      <c r="A2506" s="4" t="str">
        <f t="shared" si="303"/>
        <v>033</v>
      </c>
      <c r="B2506" s="4" t="s">
        <v>45</v>
      </c>
      <c r="C2506" s="4" t="str">
        <f>"覃慧中"</f>
        <v>覃慧中</v>
      </c>
      <c r="D2506" s="4" t="str">
        <f>"2021023301"</f>
        <v>2021023301</v>
      </c>
      <c r="E2506" s="4" t="str">
        <f t="shared" ref="E2506:E2516" si="304">"33"</f>
        <v>33</v>
      </c>
      <c r="F2506" s="4" t="str">
        <f>"01"</f>
        <v>01</v>
      </c>
      <c r="G2506" s="4" t="s">
        <v>27</v>
      </c>
      <c r="H2506" s="5">
        <v>0</v>
      </c>
      <c r="I2506" s="6" t="s">
        <v>13</v>
      </c>
      <c r="J2506" s="4">
        <f>SUMPRODUCT(--((A2506=$A$3:$A$2785)*$H$3:$H$2785&gt;H2506))+1</f>
        <v>139</v>
      </c>
    </row>
    <row r="2507" s="1" customFormat="true" customHeight="true" spans="1:10">
      <c r="A2507" s="4" t="str">
        <f t="shared" si="303"/>
        <v>033</v>
      </c>
      <c r="B2507" s="4" t="s">
        <v>45</v>
      </c>
      <c r="C2507" s="4" t="str">
        <f>"李诗"</f>
        <v>李诗</v>
      </c>
      <c r="D2507" s="4" t="str">
        <f>"2021023307"</f>
        <v>2021023307</v>
      </c>
      <c r="E2507" s="4" t="str">
        <f t="shared" si="304"/>
        <v>33</v>
      </c>
      <c r="F2507" s="4" t="str">
        <f>"07"</f>
        <v>07</v>
      </c>
      <c r="G2507" s="4" t="s">
        <v>27</v>
      </c>
      <c r="H2507" s="5">
        <v>0</v>
      </c>
      <c r="I2507" s="6" t="s">
        <v>13</v>
      </c>
      <c r="J2507" s="4">
        <f>SUMPRODUCT(--((A2507=$A$3:$A$2785)*$H$3:$H$2785&gt;H2507))+1</f>
        <v>139</v>
      </c>
    </row>
    <row r="2508" s="1" customFormat="true" customHeight="true" spans="1:10">
      <c r="A2508" s="4" t="str">
        <f t="shared" si="303"/>
        <v>033</v>
      </c>
      <c r="B2508" s="4" t="s">
        <v>45</v>
      </c>
      <c r="C2508" s="4" t="str">
        <f>"易家宜"</f>
        <v>易家宜</v>
      </c>
      <c r="D2508" s="4" t="str">
        <f>"2021023309"</f>
        <v>2021023309</v>
      </c>
      <c r="E2508" s="4" t="str">
        <f t="shared" si="304"/>
        <v>33</v>
      </c>
      <c r="F2508" s="4" t="str">
        <f>"09"</f>
        <v>09</v>
      </c>
      <c r="G2508" s="4" t="s">
        <v>27</v>
      </c>
      <c r="H2508" s="5">
        <v>0</v>
      </c>
      <c r="I2508" s="6" t="s">
        <v>13</v>
      </c>
      <c r="J2508" s="4">
        <f>SUMPRODUCT(--((A2508=$A$3:$A$2785)*$H$3:$H$2785&gt;H2508))+1</f>
        <v>139</v>
      </c>
    </row>
    <row r="2509" s="1" customFormat="true" customHeight="true" spans="1:10">
      <c r="A2509" s="4" t="str">
        <f t="shared" si="303"/>
        <v>033</v>
      </c>
      <c r="B2509" s="4" t="s">
        <v>45</v>
      </c>
      <c r="C2509" s="4" t="str">
        <f>"肖丽芳"</f>
        <v>肖丽芳</v>
      </c>
      <c r="D2509" s="4" t="str">
        <f>"2021023314"</f>
        <v>2021023314</v>
      </c>
      <c r="E2509" s="4" t="str">
        <f t="shared" si="304"/>
        <v>33</v>
      </c>
      <c r="F2509" s="4" t="str">
        <f>"14"</f>
        <v>14</v>
      </c>
      <c r="G2509" s="4" t="s">
        <v>27</v>
      </c>
      <c r="H2509" s="5">
        <v>0</v>
      </c>
      <c r="I2509" s="6" t="s">
        <v>13</v>
      </c>
      <c r="J2509" s="4">
        <f>SUMPRODUCT(--((A2509=$A$3:$A$2785)*$H$3:$H$2785&gt;H2509))+1</f>
        <v>139</v>
      </c>
    </row>
    <row r="2510" s="1" customFormat="true" customHeight="true" spans="1:10">
      <c r="A2510" s="4" t="str">
        <f t="shared" si="303"/>
        <v>033</v>
      </c>
      <c r="B2510" s="4" t="s">
        <v>45</v>
      </c>
      <c r="C2510" s="4" t="str">
        <f>"黄婉婷"</f>
        <v>黄婉婷</v>
      </c>
      <c r="D2510" s="4" t="str">
        <f>"2021023316"</f>
        <v>2021023316</v>
      </c>
      <c r="E2510" s="4" t="str">
        <f t="shared" si="304"/>
        <v>33</v>
      </c>
      <c r="F2510" s="4" t="str">
        <f>"16"</f>
        <v>16</v>
      </c>
      <c r="G2510" s="4" t="s">
        <v>27</v>
      </c>
      <c r="H2510" s="5">
        <v>0</v>
      </c>
      <c r="I2510" s="6" t="s">
        <v>13</v>
      </c>
      <c r="J2510" s="4">
        <f>SUMPRODUCT(--((A2510=$A$3:$A$2785)*$H$3:$H$2785&gt;H2510))+1</f>
        <v>139</v>
      </c>
    </row>
    <row r="2511" s="1" customFormat="true" customHeight="true" spans="1:10">
      <c r="A2511" s="4" t="str">
        <f t="shared" si="303"/>
        <v>033</v>
      </c>
      <c r="B2511" s="4" t="s">
        <v>45</v>
      </c>
      <c r="C2511" s="4" t="str">
        <f>"唐旖萱"</f>
        <v>唐旖萱</v>
      </c>
      <c r="D2511" s="4" t="str">
        <f>"2021023317"</f>
        <v>2021023317</v>
      </c>
      <c r="E2511" s="4" t="str">
        <f t="shared" si="304"/>
        <v>33</v>
      </c>
      <c r="F2511" s="4" t="str">
        <f>"17"</f>
        <v>17</v>
      </c>
      <c r="G2511" s="4" t="s">
        <v>27</v>
      </c>
      <c r="H2511" s="5">
        <v>0</v>
      </c>
      <c r="I2511" s="6" t="s">
        <v>13</v>
      </c>
      <c r="J2511" s="4">
        <f>SUMPRODUCT(--((A2511=$A$3:$A$2785)*$H$3:$H$2785&gt;H2511))+1</f>
        <v>139</v>
      </c>
    </row>
    <row r="2512" s="1" customFormat="true" customHeight="true" spans="1:10">
      <c r="A2512" s="4" t="str">
        <f t="shared" si="303"/>
        <v>033</v>
      </c>
      <c r="B2512" s="4" t="s">
        <v>45</v>
      </c>
      <c r="C2512" s="4" t="str">
        <f>"石元冲"</f>
        <v>石元冲</v>
      </c>
      <c r="D2512" s="4" t="str">
        <f>"2021023319"</f>
        <v>2021023319</v>
      </c>
      <c r="E2512" s="4" t="str">
        <f t="shared" si="304"/>
        <v>33</v>
      </c>
      <c r="F2512" s="4" t="str">
        <f>"19"</f>
        <v>19</v>
      </c>
      <c r="G2512" s="4" t="s">
        <v>27</v>
      </c>
      <c r="H2512" s="5">
        <v>0</v>
      </c>
      <c r="I2512" s="6" t="s">
        <v>13</v>
      </c>
      <c r="J2512" s="4">
        <f>SUMPRODUCT(--((A2512=$A$3:$A$2785)*$H$3:$H$2785&gt;H2512))+1</f>
        <v>139</v>
      </c>
    </row>
    <row r="2513" s="1" customFormat="true" customHeight="true" spans="1:10">
      <c r="A2513" s="4" t="str">
        <f t="shared" si="303"/>
        <v>033</v>
      </c>
      <c r="B2513" s="4" t="s">
        <v>45</v>
      </c>
      <c r="C2513" s="4" t="str">
        <f>"姜静云"</f>
        <v>姜静云</v>
      </c>
      <c r="D2513" s="4" t="str">
        <f>"2021023320"</f>
        <v>2021023320</v>
      </c>
      <c r="E2513" s="4" t="str">
        <f t="shared" si="304"/>
        <v>33</v>
      </c>
      <c r="F2513" s="4" t="str">
        <f>"20"</f>
        <v>20</v>
      </c>
      <c r="G2513" s="4" t="s">
        <v>27</v>
      </c>
      <c r="H2513" s="5">
        <v>0</v>
      </c>
      <c r="I2513" s="6" t="s">
        <v>13</v>
      </c>
      <c r="J2513" s="4">
        <f>SUMPRODUCT(--((A2513=$A$3:$A$2785)*$H$3:$H$2785&gt;H2513))+1</f>
        <v>139</v>
      </c>
    </row>
    <row r="2514" s="1" customFormat="true" customHeight="true" spans="1:10">
      <c r="A2514" s="4" t="str">
        <f t="shared" si="303"/>
        <v>033</v>
      </c>
      <c r="B2514" s="4" t="s">
        <v>45</v>
      </c>
      <c r="C2514" s="4" t="str">
        <f>"李书敏"</f>
        <v>李书敏</v>
      </c>
      <c r="D2514" s="4" t="str">
        <f>"2021023325"</f>
        <v>2021023325</v>
      </c>
      <c r="E2514" s="4" t="str">
        <f t="shared" si="304"/>
        <v>33</v>
      </c>
      <c r="F2514" s="4" t="str">
        <f>"25"</f>
        <v>25</v>
      </c>
      <c r="G2514" s="4" t="s">
        <v>27</v>
      </c>
      <c r="H2514" s="5">
        <v>0</v>
      </c>
      <c r="I2514" s="6" t="s">
        <v>13</v>
      </c>
      <c r="J2514" s="4">
        <f>SUMPRODUCT(--((A2514=$A$3:$A$2785)*$H$3:$H$2785&gt;H2514))+1</f>
        <v>139</v>
      </c>
    </row>
    <row r="2515" s="1" customFormat="true" customHeight="true" spans="1:10">
      <c r="A2515" s="4" t="str">
        <f t="shared" si="303"/>
        <v>033</v>
      </c>
      <c r="B2515" s="4" t="s">
        <v>45</v>
      </c>
      <c r="C2515" s="4" t="str">
        <f>"戴梦滢"</f>
        <v>戴梦滢</v>
      </c>
      <c r="D2515" s="4" t="str">
        <f>"2021023326"</f>
        <v>2021023326</v>
      </c>
      <c r="E2515" s="4" t="str">
        <f t="shared" si="304"/>
        <v>33</v>
      </c>
      <c r="F2515" s="4" t="str">
        <f>"26"</f>
        <v>26</v>
      </c>
      <c r="G2515" s="4" t="s">
        <v>27</v>
      </c>
      <c r="H2515" s="5">
        <v>0</v>
      </c>
      <c r="I2515" s="6" t="s">
        <v>13</v>
      </c>
      <c r="J2515" s="4">
        <f>SUMPRODUCT(--((A2515=$A$3:$A$2785)*$H$3:$H$2785&gt;H2515))+1</f>
        <v>139</v>
      </c>
    </row>
    <row r="2516" s="1" customFormat="true" customHeight="true" spans="1:10">
      <c r="A2516" s="4" t="str">
        <f t="shared" si="303"/>
        <v>033</v>
      </c>
      <c r="B2516" s="4" t="s">
        <v>45</v>
      </c>
      <c r="C2516" s="4" t="str">
        <f>"满玉萍"</f>
        <v>满玉萍</v>
      </c>
      <c r="D2516" s="4" t="str">
        <f>"2021023328"</f>
        <v>2021023328</v>
      </c>
      <c r="E2516" s="4" t="str">
        <f t="shared" si="304"/>
        <v>33</v>
      </c>
      <c r="F2516" s="4" t="str">
        <f>"28"</f>
        <v>28</v>
      </c>
      <c r="G2516" s="4" t="s">
        <v>27</v>
      </c>
      <c r="H2516" s="5">
        <v>0</v>
      </c>
      <c r="I2516" s="6" t="s">
        <v>13</v>
      </c>
      <c r="J2516" s="4">
        <f>SUMPRODUCT(--((A2516=$A$3:$A$2785)*$H$3:$H$2785&gt;H2516))+1</f>
        <v>139</v>
      </c>
    </row>
    <row r="2517" s="1" customFormat="true" customHeight="true" spans="1:10">
      <c r="A2517" s="4" t="str">
        <f t="shared" si="303"/>
        <v>033</v>
      </c>
      <c r="B2517" s="4" t="s">
        <v>45</v>
      </c>
      <c r="C2517" s="4" t="str">
        <f>"黄榆芩"</f>
        <v>黄榆芩</v>
      </c>
      <c r="D2517" s="4" t="str">
        <f>"2021023409"</f>
        <v>2021023409</v>
      </c>
      <c r="E2517" s="4" t="str">
        <f t="shared" ref="E2517:E2519" si="305">"34"</f>
        <v>34</v>
      </c>
      <c r="F2517" s="4" t="str">
        <f>"09"</f>
        <v>09</v>
      </c>
      <c r="G2517" s="4" t="s">
        <v>27</v>
      </c>
      <c r="H2517" s="5">
        <v>0</v>
      </c>
      <c r="I2517" s="6" t="s">
        <v>13</v>
      </c>
      <c r="J2517" s="4">
        <f>SUMPRODUCT(--((A2517=$A$3:$A$2785)*$H$3:$H$2785&gt;H2517))+1</f>
        <v>139</v>
      </c>
    </row>
    <row r="2518" s="1" customFormat="true" customHeight="true" spans="1:10">
      <c r="A2518" s="4" t="str">
        <f t="shared" si="303"/>
        <v>033</v>
      </c>
      <c r="B2518" s="4" t="s">
        <v>45</v>
      </c>
      <c r="C2518" s="4" t="str">
        <f>"罗贤亚"</f>
        <v>罗贤亚</v>
      </c>
      <c r="D2518" s="4" t="str">
        <f>"2021023410"</f>
        <v>2021023410</v>
      </c>
      <c r="E2518" s="4" t="str">
        <f t="shared" si="305"/>
        <v>34</v>
      </c>
      <c r="F2518" s="4" t="str">
        <f>"10"</f>
        <v>10</v>
      </c>
      <c r="G2518" s="4" t="s">
        <v>27</v>
      </c>
      <c r="H2518" s="5">
        <v>0</v>
      </c>
      <c r="I2518" s="6" t="s">
        <v>13</v>
      </c>
      <c r="J2518" s="4">
        <f>SUMPRODUCT(--((A2518=$A$3:$A$2785)*$H$3:$H$2785&gt;H2518))+1</f>
        <v>139</v>
      </c>
    </row>
    <row r="2519" s="1" customFormat="true" customHeight="true" spans="1:10">
      <c r="A2519" s="4" t="str">
        <f t="shared" si="303"/>
        <v>033</v>
      </c>
      <c r="B2519" s="4" t="s">
        <v>45</v>
      </c>
      <c r="C2519" s="4" t="str">
        <f>"瞿婕文"</f>
        <v>瞿婕文</v>
      </c>
      <c r="D2519" s="4" t="str">
        <f>"2021023411"</f>
        <v>2021023411</v>
      </c>
      <c r="E2519" s="4" t="str">
        <f t="shared" si="305"/>
        <v>34</v>
      </c>
      <c r="F2519" s="4" t="str">
        <f>"11"</f>
        <v>11</v>
      </c>
      <c r="G2519" s="4" t="s">
        <v>27</v>
      </c>
      <c r="H2519" s="5">
        <v>0</v>
      </c>
      <c r="I2519" s="6" t="s">
        <v>13</v>
      </c>
      <c r="J2519" s="4">
        <f>SUMPRODUCT(--((A2519=$A$3:$A$2785)*$H$3:$H$2785&gt;H2519))+1</f>
        <v>139</v>
      </c>
    </row>
    <row r="2520" s="1" customFormat="true" customHeight="true" spans="1:10">
      <c r="A2520" s="4" t="str">
        <f t="shared" ref="A2520:A2583" si="306">"034"</f>
        <v>034</v>
      </c>
      <c r="B2520" s="4" t="s">
        <v>46</v>
      </c>
      <c r="C2520" s="4" t="str">
        <f>"丁当"</f>
        <v>丁当</v>
      </c>
      <c r="D2520" s="4" t="str">
        <f>"2021024013"</f>
        <v>2021024013</v>
      </c>
      <c r="E2520" s="4" t="str">
        <f>"40"</f>
        <v>40</v>
      </c>
      <c r="F2520" s="4" t="str">
        <f>"13"</f>
        <v>13</v>
      </c>
      <c r="G2520" s="4" t="s">
        <v>27</v>
      </c>
      <c r="H2520" s="5">
        <v>75.28</v>
      </c>
      <c r="I2520" s="4"/>
      <c r="J2520" s="4">
        <f>SUMPRODUCT(--((A2520=$A$3:$A$2785)*$H$3:$H$2785&gt;H2520))+1</f>
        <v>1</v>
      </c>
    </row>
    <row r="2521" s="1" customFormat="true" customHeight="true" spans="1:10">
      <c r="A2521" s="4" t="str">
        <f t="shared" si="306"/>
        <v>034</v>
      </c>
      <c r="B2521" s="4" t="s">
        <v>46</v>
      </c>
      <c r="C2521" s="4" t="str">
        <f>"张健"</f>
        <v>张健</v>
      </c>
      <c r="D2521" s="4" t="str">
        <f>"2021024122"</f>
        <v>2021024122</v>
      </c>
      <c r="E2521" s="4" t="str">
        <f t="shared" ref="E2521:E2524" si="307">"41"</f>
        <v>41</v>
      </c>
      <c r="F2521" s="4" t="str">
        <f>"22"</f>
        <v>22</v>
      </c>
      <c r="G2521" s="4" t="s">
        <v>27</v>
      </c>
      <c r="H2521" s="5">
        <v>72.72</v>
      </c>
      <c r="I2521" s="4"/>
      <c r="J2521" s="4">
        <f>SUMPRODUCT(--((A2521=$A$3:$A$2785)*$H$3:$H$2785&gt;H2521))+1</f>
        <v>2</v>
      </c>
    </row>
    <row r="2522" s="1" customFormat="true" customHeight="true" spans="1:10">
      <c r="A2522" s="4" t="str">
        <f t="shared" si="306"/>
        <v>034</v>
      </c>
      <c r="B2522" s="4" t="s">
        <v>46</v>
      </c>
      <c r="C2522" s="4" t="str">
        <f>"付莉"</f>
        <v>付莉</v>
      </c>
      <c r="D2522" s="4" t="str">
        <f>"2021024114"</f>
        <v>2021024114</v>
      </c>
      <c r="E2522" s="4" t="str">
        <f t="shared" si="307"/>
        <v>41</v>
      </c>
      <c r="F2522" s="4" t="str">
        <f>"14"</f>
        <v>14</v>
      </c>
      <c r="G2522" s="4" t="s">
        <v>27</v>
      </c>
      <c r="H2522" s="5">
        <v>68.84</v>
      </c>
      <c r="I2522" s="4"/>
      <c r="J2522" s="4">
        <f>SUMPRODUCT(--((A2522=$A$3:$A$2785)*$H$3:$H$2785&gt;H2522))+1</f>
        <v>3</v>
      </c>
    </row>
    <row r="2523" s="1" customFormat="true" customHeight="true" spans="1:10">
      <c r="A2523" s="4" t="str">
        <f t="shared" si="306"/>
        <v>034</v>
      </c>
      <c r="B2523" s="4" t="s">
        <v>46</v>
      </c>
      <c r="C2523" s="4" t="str">
        <f>"黄彦霞"</f>
        <v>黄彦霞</v>
      </c>
      <c r="D2523" s="4" t="str">
        <f>"2021024030"</f>
        <v>2021024030</v>
      </c>
      <c r="E2523" s="4" t="str">
        <f>"40"</f>
        <v>40</v>
      </c>
      <c r="F2523" s="4" t="str">
        <f>"30"</f>
        <v>30</v>
      </c>
      <c r="G2523" s="4" t="s">
        <v>27</v>
      </c>
      <c r="H2523" s="5">
        <v>68.61</v>
      </c>
      <c r="I2523" s="4"/>
      <c r="J2523" s="4">
        <f>SUMPRODUCT(--((A2523=$A$3:$A$2785)*$H$3:$H$2785&gt;H2523))+1</f>
        <v>4</v>
      </c>
    </row>
    <row r="2524" s="1" customFormat="true" customHeight="true" spans="1:10">
      <c r="A2524" s="4" t="str">
        <f t="shared" si="306"/>
        <v>034</v>
      </c>
      <c r="B2524" s="4" t="s">
        <v>46</v>
      </c>
      <c r="C2524" s="4" t="str">
        <f>"唐晶明"</f>
        <v>唐晶明</v>
      </c>
      <c r="D2524" s="4" t="str">
        <f>"2021024124"</f>
        <v>2021024124</v>
      </c>
      <c r="E2524" s="4" t="str">
        <f t="shared" si="307"/>
        <v>41</v>
      </c>
      <c r="F2524" s="4" t="str">
        <f>"24"</f>
        <v>24</v>
      </c>
      <c r="G2524" s="4" t="s">
        <v>27</v>
      </c>
      <c r="H2524" s="5">
        <v>67.64</v>
      </c>
      <c r="I2524" s="4"/>
      <c r="J2524" s="4">
        <f>SUMPRODUCT(--((A2524=$A$3:$A$2785)*$H$3:$H$2785&gt;H2524))+1</f>
        <v>5</v>
      </c>
    </row>
    <row r="2525" s="1" customFormat="true" customHeight="true" spans="1:10">
      <c r="A2525" s="4" t="str">
        <f t="shared" si="306"/>
        <v>034</v>
      </c>
      <c r="B2525" s="4" t="s">
        <v>46</v>
      </c>
      <c r="C2525" s="4" t="str">
        <f>"莫士茏"</f>
        <v>莫士茏</v>
      </c>
      <c r="D2525" s="4" t="str">
        <f>"2021024202"</f>
        <v>2021024202</v>
      </c>
      <c r="E2525" s="4" t="str">
        <f t="shared" ref="E2525:E2527" si="308">"42"</f>
        <v>42</v>
      </c>
      <c r="F2525" s="4" t="str">
        <f>"02"</f>
        <v>02</v>
      </c>
      <c r="G2525" s="4" t="s">
        <v>27</v>
      </c>
      <c r="H2525" s="5">
        <v>63.17</v>
      </c>
      <c r="I2525" s="4"/>
      <c r="J2525" s="4">
        <f>SUMPRODUCT(--((A2525=$A$3:$A$2785)*$H$3:$H$2785&gt;H2525))+1</f>
        <v>6</v>
      </c>
    </row>
    <row r="2526" s="1" customFormat="true" customHeight="true" spans="1:10">
      <c r="A2526" s="4" t="str">
        <f t="shared" si="306"/>
        <v>034</v>
      </c>
      <c r="B2526" s="4" t="s">
        <v>46</v>
      </c>
      <c r="C2526" s="4" t="str">
        <f>"黄艳红"</f>
        <v>黄艳红</v>
      </c>
      <c r="D2526" s="4" t="str">
        <f>"2021024218"</f>
        <v>2021024218</v>
      </c>
      <c r="E2526" s="4" t="str">
        <f t="shared" si="308"/>
        <v>42</v>
      </c>
      <c r="F2526" s="4" t="str">
        <f>"18"</f>
        <v>18</v>
      </c>
      <c r="G2526" s="4" t="s">
        <v>27</v>
      </c>
      <c r="H2526" s="5">
        <v>62.42</v>
      </c>
      <c r="I2526" s="4"/>
      <c r="J2526" s="4">
        <f>SUMPRODUCT(--((A2526=$A$3:$A$2785)*$H$3:$H$2785&gt;H2526))+1</f>
        <v>7</v>
      </c>
    </row>
    <row r="2527" s="1" customFormat="true" customHeight="true" spans="1:10">
      <c r="A2527" s="4" t="str">
        <f t="shared" si="306"/>
        <v>034</v>
      </c>
      <c r="B2527" s="4" t="s">
        <v>46</v>
      </c>
      <c r="C2527" s="4" t="str">
        <f>"刘纾妍"</f>
        <v>刘纾妍</v>
      </c>
      <c r="D2527" s="4" t="str">
        <f>"2021024213"</f>
        <v>2021024213</v>
      </c>
      <c r="E2527" s="4" t="str">
        <f t="shared" si="308"/>
        <v>42</v>
      </c>
      <c r="F2527" s="4" t="str">
        <f>"13"</f>
        <v>13</v>
      </c>
      <c r="G2527" s="4" t="s">
        <v>27</v>
      </c>
      <c r="H2527" s="5">
        <v>62.4</v>
      </c>
      <c r="I2527" s="4"/>
      <c r="J2527" s="4">
        <f>SUMPRODUCT(--((A2527=$A$3:$A$2785)*$H$3:$H$2785&gt;H2527))+1</f>
        <v>8</v>
      </c>
    </row>
    <row r="2528" s="1" customFormat="true" customHeight="true" spans="1:10">
      <c r="A2528" s="4" t="str">
        <f t="shared" si="306"/>
        <v>034</v>
      </c>
      <c r="B2528" s="4" t="s">
        <v>46</v>
      </c>
      <c r="C2528" s="4" t="str">
        <f>"肖聪颖"</f>
        <v>肖聪颖</v>
      </c>
      <c r="D2528" s="4" t="str">
        <f>"2021024107"</f>
        <v>2021024107</v>
      </c>
      <c r="E2528" s="4" t="str">
        <f t="shared" ref="E2528:E2530" si="309">"41"</f>
        <v>41</v>
      </c>
      <c r="F2528" s="4" t="str">
        <f>"07"</f>
        <v>07</v>
      </c>
      <c r="G2528" s="4" t="s">
        <v>27</v>
      </c>
      <c r="H2528" s="5">
        <v>61.4</v>
      </c>
      <c r="I2528" s="4"/>
      <c r="J2528" s="4">
        <f>SUMPRODUCT(--((A2528=$A$3:$A$2785)*$H$3:$H$2785&gt;H2528))+1</f>
        <v>9</v>
      </c>
    </row>
    <row r="2529" s="1" customFormat="true" customHeight="true" spans="1:10">
      <c r="A2529" s="4" t="str">
        <f t="shared" si="306"/>
        <v>034</v>
      </c>
      <c r="B2529" s="4" t="s">
        <v>46</v>
      </c>
      <c r="C2529" s="4" t="str">
        <f>"邹华艳"</f>
        <v>邹华艳</v>
      </c>
      <c r="D2529" s="4" t="str">
        <f>"2021024125"</f>
        <v>2021024125</v>
      </c>
      <c r="E2529" s="4" t="str">
        <f t="shared" si="309"/>
        <v>41</v>
      </c>
      <c r="F2529" s="4" t="str">
        <f>"25"</f>
        <v>25</v>
      </c>
      <c r="G2529" s="4" t="s">
        <v>27</v>
      </c>
      <c r="H2529" s="5">
        <v>60.4</v>
      </c>
      <c r="I2529" s="4"/>
      <c r="J2529" s="4">
        <f>SUMPRODUCT(--((A2529=$A$3:$A$2785)*$H$3:$H$2785&gt;H2529))+1</f>
        <v>10</v>
      </c>
    </row>
    <row r="2530" s="1" customFormat="true" customHeight="true" spans="1:10">
      <c r="A2530" s="4" t="str">
        <f t="shared" si="306"/>
        <v>034</v>
      </c>
      <c r="B2530" s="4" t="s">
        <v>46</v>
      </c>
      <c r="C2530" s="4" t="str">
        <f>"肖英"</f>
        <v>肖英</v>
      </c>
      <c r="D2530" s="4" t="str">
        <f>"2021024123"</f>
        <v>2021024123</v>
      </c>
      <c r="E2530" s="4" t="str">
        <f t="shared" si="309"/>
        <v>41</v>
      </c>
      <c r="F2530" s="4" t="str">
        <f>"23"</f>
        <v>23</v>
      </c>
      <c r="G2530" s="4" t="s">
        <v>27</v>
      </c>
      <c r="H2530" s="5">
        <v>59.8</v>
      </c>
      <c r="I2530" s="4"/>
      <c r="J2530" s="4">
        <f>SUMPRODUCT(--((A2530=$A$3:$A$2785)*$H$3:$H$2785&gt;H2530))+1</f>
        <v>11</v>
      </c>
    </row>
    <row r="2531" s="1" customFormat="true" customHeight="true" spans="1:10">
      <c r="A2531" s="4" t="str">
        <f t="shared" si="306"/>
        <v>034</v>
      </c>
      <c r="B2531" s="4" t="s">
        <v>46</v>
      </c>
      <c r="C2531" s="4" t="str">
        <f>"张玲"</f>
        <v>张玲</v>
      </c>
      <c r="D2531" s="4" t="str">
        <f>"2021024021"</f>
        <v>2021024021</v>
      </c>
      <c r="E2531" s="4" t="str">
        <f t="shared" ref="E2531:E2536" si="310">"40"</f>
        <v>40</v>
      </c>
      <c r="F2531" s="4" t="str">
        <f>"21"</f>
        <v>21</v>
      </c>
      <c r="G2531" s="4" t="s">
        <v>27</v>
      </c>
      <c r="H2531" s="5">
        <v>58.98</v>
      </c>
      <c r="I2531" s="4"/>
      <c r="J2531" s="4">
        <f>SUMPRODUCT(--((A2531=$A$3:$A$2785)*$H$3:$H$2785&gt;H2531))+1</f>
        <v>12</v>
      </c>
    </row>
    <row r="2532" s="1" customFormat="true" customHeight="true" spans="1:10">
      <c r="A2532" s="4" t="str">
        <f t="shared" si="306"/>
        <v>034</v>
      </c>
      <c r="B2532" s="4" t="s">
        <v>46</v>
      </c>
      <c r="C2532" s="4" t="str">
        <f>"张轶"</f>
        <v>张轶</v>
      </c>
      <c r="D2532" s="4" t="str">
        <f>"2021024130"</f>
        <v>2021024130</v>
      </c>
      <c r="E2532" s="4" t="str">
        <f>"41"</f>
        <v>41</v>
      </c>
      <c r="F2532" s="4" t="str">
        <f>"30"</f>
        <v>30</v>
      </c>
      <c r="G2532" s="4" t="s">
        <v>27</v>
      </c>
      <c r="H2532" s="5">
        <v>58.53</v>
      </c>
      <c r="I2532" s="4"/>
      <c r="J2532" s="4">
        <f>SUMPRODUCT(--((A2532=$A$3:$A$2785)*$H$3:$H$2785&gt;H2532))+1</f>
        <v>13</v>
      </c>
    </row>
    <row r="2533" s="1" customFormat="true" customHeight="true" spans="1:10">
      <c r="A2533" s="4" t="str">
        <f t="shared" si="306"/>
        <v>034</v>
      </c>
      <c r="B2533" s="4" t="s">
        <v>46</v>
      </c>
      <c r="C2533" s="4" t="str">
        <f>"陈小敏"</f>
        <v>陈小敏</v>
      </c>
      <c r="D2533" s="4" t="str">
        <f>"2021024111"</f>
        <v>2021024111</v>
      </c>
      <c r="E2533" s="4" t="str">
        <f>"41"</f>
        <v>41</v>
      </c>
      <c r="F2533" s="4" t="str">
        <f>"11"</f>
        <v>11</v>
      </c>
      <c r="G2533" s="4" t="s">
        <v>27</v>
      </c>
      <c r="H2533" s="5">
        <v>58.09</v>
      </c>
      <c r="I2533" s="4"/>
      <c r="J2533" s="4">
        <f>SUMPRODUCT(--((A2533=$A$3:$A$2785)*$H$3:$H$2785&gt;H2533))+1</f>
        <v>14</v>
      </c>
    </row>
    <row r="2534" s="1" customFormat="true" customHeight="true" spans="1:10">
      <c r="A2534" s="4" t="str">
        <f t="shared" si="306"/>
        <v>034</v>
      </c>
      <c r="B2534" s="4" t="s">
        <v>46</v>
      </c>
      <c r="C2534" s="4" t="str">
        <f>"金芮西"</f>
        <v>金芮西</v>
      </c>
      <c r="D2534" s="4" t="str">
        <f>"2021024204"</f>
        <v>2021024204</v>
      </c>
      <c r="E2534" s="4" t="str">
        <f t="shared" ref="E2534:E2538" si="311">"42"</f>
        <v>42</v>
      </c>
      <c r="F2534" s="4" t="str">
        <f>"04"</f>
        <v>04</v>
      </c>
      <c r="G2534" s="4" t="s">
        <v>27</v>
      </c>
      <c r="H2534" s="5">
        <v>57.72</v>
      </c>
      <c r="I2534" s="4"/>
      <c r="J2534" s="4">
        <f>SUMPRODUCT(--((A2534=$A$3:$A$2785)*$H$3:$H$2785&gt;H2534))+1</f>
        <v>15</v>
      </c>
    </row>
    <row r="2535" s="1" customFormat="true" customHeight="true" spans="1:10">
      <c r="A2535" s="4" t="str">
        <f t="shared" si="306"/>
        <v>034</v>
      </c>
      <c r="B2535" s="4" t="s">
        <v>46</v>
      </c>
      <c r="C2535" s="4" t="str">
        <f>"刘茹冰"</f>
        <v>刘茹冰</v>
      </c>
      <c r="D2535" s="4" t="str">
        <f>"2021024020"</f>
        <v>2021024020</v>
      </c>
      <c r="E2535" s="4" t="str">
        <f t="shared" si="310"/>
        <v>40</v>
      </c>
      <c r="F2535" s="4" t="str">
        <f>"20"</f>
        <v>20</v>
      </c>
      <c r="G2535" s="4" t="s">
        <v>27</v>
      </c>
      <c r="H2535" s="5">
        <v>57.48</v>
      </c>
      <c r="I2535" s="4"/>
      <c r="J2535" s="4">
        <f>SUMPRODUCT(--((A2535=$A$3:$A$2785)*$H$3:$H$2785&gt;H2535))+1</f>
        <v>16</v>
      </c>
    </row>
    <row r="2536" s="1" customFormat="true" customHeight="true" spans="1:10">
      <c r="A2536" s="4" t="str">
        <f t="shared" si="306"/>
        <v>034</v>
      </c>
      <c r="B2536" s="4" t="s">
        <v>46</v>
      </c>
      <c r="C2536" s="4" t="str">
        <f>"邓莹"</f>
        <v>邓莹</v>
      </c>
      <c r="D2536" s="4" t="str">
        <f>"2021024015"</f>
        <v>2021024015</v>
      </c>
      <c r="E2536" s="4" t="str">
        <f t="shared" si="310"/>
        <v>40</v>
      </c>
      <c r="F2536" s="4" t="str">
        <f>"15"</f>
        <v>15</v>
      </c>
      <c r="G2536" s="4" t="s">
        <v>27</v>
      </c>
      <c r="H2536" s="5">
        <v>56.9</v>
      </c>
      <c r="I2536" s="4"/>
      <c r="J2536" s="4">
        <f>SUMPRODUCT(--((A2536=$A$3:$A$2785)*$H$3:$H$2785&gt;H2536))+1</f>
        <v>17</v>
      </c>
    </row>
    <row r="2537" s="1" customFormat="true" customHeight="true" spans="1:10">
      <c r="A2537" s="4" t="str">
        <f t="shared" si="306"/>
        <v>034</v>
      </c>
      <c r="B2537" s="4" t="s">
        <v>46</v>
      </c>
      <c r="C2537" s="4" t="str">
        <f>"李晓晨"</f>
        <v>李晓晨</v>
      </c>
      <c r="D2537" s="4" t="str">
        <f>"2021024217"</f>
        <v>2021024217</v>
      </c>
      <c r="E2537" s="4" t="str">
        <f t="shared" si="311"/>
        <v>42</v>
      </c>
      <c r="F2537" s="4" t="str">
        <f>"17"</f>
        <v>17</v>
      </c>
      <c r="G2537" s="4" t="s">
        <v>27</v>
      </c>
      <c r="H2537" s="5">
        <v>54.32</v>
      </c>
      <c r="I2537" s="4"/>
      <c r="J2537" s="4">
        <f>SUMPRODUCT(--((A2537=$A$3:$A$2785)*$H$3:$H$2785&gt;H2537))+1</f>
        <v>18</v>
      </c>
    </row>
    <row r="2538" s="1" customFormat="true" customHeight="true" spans="1:10">
      <c r="A2538" s="4" t="str">
        <f t="shared" si="306"/>
        <v>034</v>
      </c>
      <c r="B2538" s="4" t="s">
        <v>46</v>
      </c>
      <c r="C2538" s="4" t="str">
        <f>"范敏婕"</f>
        <v>范敏婕</v>
      </c>
      <c r="D2538" s="4" t="str">
        <f>"2021024203"</f>
        <v>2021024203</v>
      </c>
      <c r="E2538" s="4" t="str">
        <f t="shared" si="311"/>
        <v>42</v>
      </c>
      <c r="F2538" s="4" t="str">
        <f>"03"</f>
        <v>03</v>
      </c>
      <c r="G2538" s="4" t="s">
        <v>27</v>
      </c>
      <c r="H2538" s="5">
        <v>53.82</v>
      </c>
      <c r="I2538" s="4"/>
      <c r="J2538" s="4">
        <f>SUMPRODUCT(--((A2538=$A$3:$A$2785)*$H$3:$H$2785&gt;H2538))+1</f>
        <v>19</v>
      </c>
    </row>
    <row r="2539" s="1" customFormat="true" customHeight="true" spans="1:10">
      <c r="A2539" s="4" t="str">
        <f t="shared" si="306"/>
        <v>034</v>
      </c>
      <c r="B2539" s="4" t="s">
        <v>46</v>
      </c>
      <c r="C2539" s="4" t="str">
        <f>"杨迎进"</f>
        <v>杨迎进</v>
      </c>
      <c r="D2539" s="4" t="str">
        <f>"2021024108"</f>
        <v>2021024108</v>
      </c>
      <c r="E2539" s="4" t="str">
        <f t="shared" ref="E2539:E2543" si="312">"41"</f>
        <v>41</v>
      </c>
      <c r="F2539" s="4" t="str">
        <f>"08"</f>
        <v>08</v>
      </c>
      <c r="G2539" s="4" t="s">
        <v>27</v>
      </c>
      <c r="H2539" s="5">
        <v>53.76</v>
      </c>
      <c r="I2539" s="4"/>
      <c r="J2539" s="4">
        <f>SUMPRODUCT(--((A2539=$A$3:$A$2785)*$H$3:$H$2785&gt;H2539))+1</f>
        <v>20</v>
      </c>
    </row>
    <row r="2540" s="1" customFormat="true" customHeight="true" spans="1:10">
      <c r="A2540" s="4" t="str">
        <f t="shared" si="306"/>
        <v>034</v>
      </c>
      <c r="B2540" s="4" t="s">
        <v>46</v>
      </c>
      <c r="C2540" s="4" t="str">
        <f>"唐满华"</f>
        <v>唐满华</v>
      </c>
      <c r="D2540" s="4" t="str">
        <f>"2021024028"</f>
        <v>2021024028</v>
      </c>
      <c r="E2540" s="4" t="str">
        <f t="shared" ref="E2540:E2544" si="313">"40"</f>
        <v>40</v>
      </c>
      <c r="F2540" s="4" t="str">
        <f>"28"</f>
        <v>28</v>
      </c>
      <c r="G2540" s="4" t="s">
        <v>27</v>
      </c>
      <c r="H2540" s="5">
        <v>53.66</v>
      </c>
      <c r="I2540" s="4"/>
      <c r="J2540" s="4">
        <f>SUMPRODUCT(--((A2540=$A$3:$A$2785)*$H$3:$H$2785&gt;H2540))+1</f>
        <v>21</v>
      </c>
    </row>
    <row r="2541" s="1" customFormat="true" customHeight="true" spans="1:10">
      <c r="A2541" s="4" t="str">
        <f t="shared" si="306"/>
        <v>034</v>
      </c>
      <c r="B2541" s="4" t="s">
        <v>46</v>
      </c>
      <c r="C2541" s="4" t="str">
        <f>"王晶"</f>
        <v>王晶</v>
      </c>
      <c r="D2541" s="4" t="str">
        <f>"2021024112"</f>
        <v>2021024112</v>
      </c>
      <c r="E2541" s="4" t="str">
        <f t="shared" si="312"/>
        <v>41</v>
      </c>
      <c r="F2541" s="4" t="str">
        <f>"12"</f>
        <v>12</v>
      </c>
      <c r="G2541" s="4" t="s">
        <v>27</v>
      </c>
      <c r="H2541" s="5">
        <v>53.21</v>
      </c>
      <c r="I2541" s="4"/>
      <c r="J2541" s="4">
        <f>SUMPRODUCT(--((A2541=$A$3:$A$2785)*$H$3:$H$2785&gt;H2541))+1</f>
        <v>22</v>
      </c>
    </row>
    <row r="2542" s="1" customFormat="true" customHeight="true" spans="1:10">
      <c r="A2542" s="4" t="str">
        <f t="shared" si="306"/>
        <v>034</v>
      </c>
      <c r="B2542" s="4" t="s">
        <v>46</v>
      </c>
      <c r="C2542" s="4" t="str">
        <f>"孙霞"</f>
        <v>孙霞</v>
      </c>
      <c r="D2542" s="4" t="str">
        <f>"2021024011"</f>
        <v>2021024011</v>
      </c>
      <c r="E2542" s="4" t="str">
        <f t="shared" si="313"/>
        <v>40</v>
      </c>
      <c r="F2542" s="4" t="str">
        <f>"11"</f>
        <v>11</v>
      </c>
      <c r="G2542" s="4" t="s">
        <v>27</v>
      </c>
      <c r="H2542" s="5">
        <v>52.28</v>
      </c>
      <c r="I2542" s="4"/>
      <c r="J2542" s="4">
        <f>SUMPRODUCT(--((A2542=$A$3:$A$2785)*$H$3:$H$2785&gt;H2542))+1</f>
        <v>23</v>
      </c>
    </row>
    <row r="2543" s="1" customFormat="true" customHeight="true" spans="1:10">
      <c r="A2543" s="4" t="str">
        <f t="shared" si="306"/>
        <v>034</v>
      </c>
      <c r="B2543" s="4" t="s">
        <v>46</v>
      </c>
      <c r="C2543" s="4" t="str">
        <f>"舒淑文"</f>
        <v>舒淑文</v>
      </c>
      <c r="D2543" s="4" t="str">
        <f>"2021024127"</f>
        <v>2021024127</v>
      </c>
      <c r="E2543" s="4" t="str">
        <f t="shared" si="312"/>
        <v>41</v>
      </c>
      <c r="F2543" s="4" t="str">
        <f>"27"</f>
        <v>27</v>
      </c>
      <c r="G2543" s="4" t="s">
        <v>27</v>
      </c>
      <c r="H2543" s="5">
        <v>51.88</v>
      </c>
      <c r="I2543" s="4"/>
      <c r="J2543" s="4">
        <f>SUMPRODUCT(--((A2543=$A$3:$A$2785)*$H$3:$H$2785&gt;H2543))+1</f>
        <v>24</v>
      </c>
    </row>
    <row r="2544" s="1" customFormat="true" customHeight="true" spans="1:10">
      <c r="A2544" s="4" t="str">
        <f t="shared" si="306"/>
        <v>034</v>
      </c>
      <c r="B2544" s="4" t="s">
        <v>46</v>
      </c>
      <c r="C2544" s="4" t="str">
        <f>"吴倩"</f>
        <v>吴倩</v>
      </c>
      <c r="D2544" s="4" t="str">
        <f>"2021024014"</f>
        <v>2021024014</v>
      </c>
      <c r="E2544" s="4" t="str">
        <f t="shared" si="313"/>
        <v>40</v>
      </c>
      <c r="F2544" s="4" t="str">
        <f>"14"</f>
        <v>14</v>
      </c>
      <c r="G2544" s="4" t="s">
        <v>27</v>
      </c>
      <c r="H2544" s="5">
        <v>51.11</v>
      </c>
      <c r="I2544" s="4"/>
      <c r="J2544" s="4">
        <f>SUMPRODUCT(--((A2544=$A$3:$A$2785)*$H$3:$H$2785&gt;H2544))+1</f>
        <v>25</v>
      </c>
    </row>
    <row r="2545" s="1" customFormat="true" customHeight="true" spans="1:10">
      <c r="A2545" s="4" t="str">
        <f t="shared" si="306"/>
        <v>034</v>
      </c>
      <c r="B2545" s="4" t="s">
        <v>46</v>
      </c>
      <c r="C2545" s="4" t="str">
        <f>"黄金蓉"</f>
        <v>黄金蓉</v>
      </c>
      <c r="D2545" s="4" t="str">
        <f>"2021024208"</f>
        <v>2021024208</v>
      </c>
      <c r="E2545" s="4" t="str">
        <f t="shared" ref="E2545:E2549" si="314">"42"</f>
        <v>42</v>
      </c>
      <c r="F2545" s="4" t="str">
        <f>"08"</f>
        <v>08</v>
      </c>
      <c r="G2545" s="4" t="s">
        <v>27</v>
      </c>
      <c r="H2545" s="5">
        <v>51.09</v>
      </c>
      <c r="I2545" s="4"/>
      <c r="J2545" s="4">
        <f>SUMPRODUCT(--((A2545=$A$3:$A$2785)*$H$3:$H$2785&gt;H2545))+1</f>
        <v>26</v>
      </c>
    </row>
    <row r="2546" s="1" customFormat="true" customHeight="true" spans="1:10">
      <c r="A2546" s="4" t="str">
        <f t="shared" si="306"/>
        <v>034</v>
      </c>
      <c r="B2546" s="4" t="s">
        <v>46</v>
      </c>
      <c r="C2546" s="4" t="str">
        <f>"彭琳玲"</f>
        <v>彭琳玲</v>
      </c>
      <c r="D2546" s="4" t="str">
        <f>"2021024128"</f>
        <v>2021024128</v>
      </c>
      <c r="E2546" s="4" t="str">
        <f t="shared" ref="E2546:E2551" si="315">"41"</f>
        <v>41</v>
      </c>
      <c r="F2546" s="4" t="str">
        <f>"28"</f>
        <v>28</v>
      </c>
      <c r="G2546" s="4" t="s">
        <v>27</v>
      </c>
      <c r="H2546" s="5">
        <v>50.84</v>
      </c>
      <c r="I2546" s="4"/>
      <c r="J2546" s="4">
        <f>SUMPRODUCT(--((A2546=$A$3:$A$2785)*$H$3:$H$2785&gt;H2546))+1</f>
        <v>27</v>
      </c>
    </row>
    <row r="2547" s="1" customFormat="true" customHeight="true" spans="1:10">
      <c r="A2547" s="4" t="str">
        <f t="shared" si="306"/>
        <v>034</v>
      </c>
      <c r="B2547" s="4" t="s">
        <v>46</v>
      </c>
      <c r="C2547" s="4" t="str">
        <f>"刘璐璇"</f>
        <v>刘璐璇</v>
      </c>
      <c r="D2547" s="4" t="str">
        <f>"2021024027"</f>
        <v>2021024027</v>
      </c>
      <c r="E2547" s="4" t="str">
        <f>"40"</f>
        <v>40</v>
      </c>
      <c r="F2547" s="4" t="str">
        <f>"27"</f>
        <v>27</v>
      </c>
      <c r="G2547" s="4" t="s">
        <v>27</v>
      </c>
      <c r="H2547" s="5">
        <v>50.51</v>
      </c>
      <c r="I2547" s="4"/>
      <c r="J2547" s="4">
        <f>SUMPRODUCT(--((A2547=$A$3:$A$2785)*$H$3:$H$2785&gt;H2547))+1</f>
        <v>28</v>
      </c>
    </row>
    <row r="2548" s="1" customFormat="true" customHeight="true" spans="1:10">
      <c r="A2548" s="4" t="str">
        <f t="shared" si="306"/>
        <v>034</v>
      </c>
      <c r="B2548" s="4" t="s">
        <v>46</v>
      </c>
      <c r="C2548" s="4" t="str">
        <f>"蒲曾坤"</f>
        <v>蒲曾坤</v>
      </c>
      <c r="D2548" s="4" t="str">
        <f>"2021024201"</f>
        <v>2021024201</v>
      </c>
      <c r="E2548" s="4" t="str">
        <f t="shared" si="314"/>
        <v>42</v>
      </c>
      <c r="F2548" s="4" t="str">
        <f>"01"</f>
        <v>01</v>
      </c>
      <c r="G2548" s="4" t="s">
        <v>27</v>
      </c>
      <c r="H2548" s="5">
        <v>49.11</v>
      </c>
      <c r="I2548" s="4"/>
      <c r="J2548" s="4">
        <f>SUMPRODUCT(--((A2548=$A$3:$A$2785)*$H$3:$H$2785&gt;H2548))+1</f>
        <v>29</v>
      </c>
    </row>
    <row r="2549" s="1" customFormat="true" customHeight="true" spans="1:10">
      <c r="A2549" s="4" t="str">
        <f t="shared" si="306"/>
        <v>034</v>
      </c>
      <c r="B2549" s="4" t="s">
        <v>46</v>
      </c>
      <c r="C2549" s="4" t="str">
        <f>"谢秋"</f>
        <v>谢秋</v>
      </c>
      <c r="D2549" s="4" t="str">
        <f>"2021024205"</f>
        <v>2021024205</v>
      </c>
      <c r="E2549" s="4" t="str">
        <f t="shared" si="314"/>
        <v>42</v>
      </c>
      <c r="F2549" s="4" t="str">
        <f>"05"</f>
        <v>05</v>
      </c>
      <c r="G2549" s="4" t="s">
        <v>27</v>
      </c>
      <c r="H2549" s="5">
        <v>48.92</v>
      </c>
      <c r="I2549" s="4"/>
      <c r="J2549" s="4">
        <f>SUMPRODUCT(--((A2549=$A$3:$A$2785)*$H$3:$H$2785&gt;H2549))+1</f>
        <v>30</v>
      </c>
    </row>
    <row r="2550" s="1" customFormat="true" customHeight="true" spans="1:10">
      <c r="A2550" s="4" t="str">
        <f t="shared" si="306"/>
        <v>034</v>
      </c>
      <c r="B2550" s="4" t="s">
        <v>46</v>
      </c>
      <c r="C2550" s="4" t="str">
        <f>"罗茜予"</f>
        <v>罗茜予</v>
      </c>
      <c r="D2550" s="4" t="str">
        <f>"2021024113"</f>
        <v>2021024113</v>
      </c>
      <c r="E2550" s="4" t="str">
        <f t="shared" si="315"/>
        <v>41</v>
      </c>
      <c r="F2550" s="4" t="str">
        <f>"13"</f>
        <v>13</v>
      </c>
      <c r="G2550" s="4" t="s">
        <v>27</v>
      </c>
      <c r="H2550" s="5">
        <v>48.45</v>
      </c>
      <c r="I2550" s="4"/>
      <c r="J2550" s="4">
        <f>SUMPRODUCT(--((A2550=$A$3:$A$2785)*$H$3:$H$2785&gt;H2550))+1</f>
        <v>31</v>
      </c>
    </row>
    <row r="2551" s="1" customFormat="true" customHeight="true" spans="1:10">
      <c r="A2551" s="4" t="str">
        <f t="shared" si="306"/>
        <v>034</v>
      </c>
      <c r="B2551" s="4" t="s">
        <v>46</v>
      </c>
      <c r="C2551" s="4" t="str">
        <f>"谭路路"</f>
        <v>谭路路</v>
      </c>
      <c r="D2551" s="4" t="str">
        <f>"2021024117"</f>
        <v>2021024117</v>
      </c>
      <c r="E2551" s="4" t="str">
        <f t="shared" si="315"/>
        <v>41</v>
      </c>
      <c r="F2551" s="4" t="str">
        <f>"17"</f>
        <v>17</v>
      </c>
      <c r="G2551" s="4" t="s">
        <v>27</v>
      </c>
      <c r="H2551" s="5">
        <v>47.72</v>
      </c>
      <c r="I2551" s="4"/>
      <c r="J2551" s="4">
        <f>SUMPRODUCT(--((A2551=$A$3:$A$2785)*$H$3:$H$2785&gt;H2551))+1</f>
        <v>32</v>
      </c>
    </row>
    <row r="2552" s="1" customFormat="true" customHeight="true" spans="1:10">
      <c r="A2552" s="4" t="str">
        <f t="shared" si="306"/>
        <v>034</v>
      </c>
      <c r="B2552" s="4" t="s">
        <v>46</v>
      </c>
      <c r="C2552" s="4" t="str">
        <f>"杨双凤"</f>
        <v>杨双凤</v>
      </c>
      <c r="D2552" s="4" t="str">
        <f>"2021024023"</f>
        <v>2021024023</v>
      </c>
      <c r="E2552" s="4" t="str">
        <f>"40"</f>
        <v>40</v>
      </c>
      <c r="F2552" s="4" t="str">
        <f>"23"</f>
        <v>23</v>
      </c>
      <c r="G2552" s="4" t="s">
        <v>27</v>
      </c>
      <c r="H2552" s="5">
        <v>47.05</v>
      </c>
      <c r="I2552" s="4"/>
      <c r="J2552" s="4">
        <f>SUMPRODUCT(--((A2552=$A$3:$A$2785)*$H$3:$H$2785&gt;H2552))+1</f>
        <v>33</v>
      </c>
    </row>
    <row r="2553" s="1" customFormat="true" customHeight="true" spans="1:10">
      <c r="A2553" s="4" t="str">
        <f t="shared" si="306"/>
        <v>034</v>
      </c>
      <c r="B2553" s="4" t="s">
        <v>46</v>
      </c>
      <c r="C2553" s="4" t="str">
        <f>"张靓聆"</f>
        <v>张靓聆</v>
      </c>
      <c r="D2553" s="4" t="str">
        <f>"2021024116"</f>
        <v>2021024116</v>
      </c>
      <c r="E2553" s="4" t="str">
        <f t="shared" ref="E2553:E2557" si="316">"41"</f>
        <v>41</v>
      </c>
      <c r="F2553" s="4" t="str">
        <f>"16"</f>
        <v>16</v>
      </c>
      <c r="G2553" s="4" t="s">
        <v>27</v>
      </c>
      <c r="H2553" s="5">
        <v>46.78</v>
      </c>
      <c r="I2553" s="4"/>
      <c r="J2553" s="4">
        <f>SUMPRODUCT(--((A2553=$A$3:$A$2785)*$H$3:$H$2785&gt;H2553))+1</f>
        <v>34</v>
      </c>
    </row>
    <row r="2554" s="1" customFormat="true" customHeight="true" spans="1:10">
      <c r="A2554" s="4" t="str">
        <f t="shared" si="306"/>
        <v>034</v>
      </c>
      <c r="B2554" s="4" t="s">
        <v>46</v>
      </c>
      <c r="C2554" s="4" t="str">
        <f>"宋清清"</f>
        <v>宋清清</v>
      </c>
      <c r="D2554" s="4" t="str">
        <f>"2021024121"</f>
        <v>2021024121</v>
      </c>
      <c r="E2554" s="4" t="str">
        <f t="shared" si="316"/>
        <v>41</v>
      </c>
      <c r="F2554" s="4" t="str">
        <f>"21"</f>
        <v>21</v>
      </c>
      <c r="G2554" s="4" t="s">
        <v>27</v>
      </c>
      <c r="H2554" s="5">
        <v>46.51</v>
      </c>
      <c r="I2554" s="4"/>
      <c r="J2554" s="4">
        <f>SUMPRODUCT(--((A2554=$A$3:$A$2785)*$H$3:$H$2785&gt;H2554))+1</f>
        <v>35</v>
      </c>
    </row>
    <row r="2555" s="1" customFormat="true" customHeight="true" spans="1:10">
      <c r="A2555" s="4" t="str">
        <f t="shared" si="306"/>
        <v>034</v>
      </c>
      <c r="B2555" s="4" t="s">
        <v>46</v>
      </c>
      <c r="C2555" s="4" t="str">
        <f>"吕若琪"</f>
        <v>吕若琪</v>
      </c>
      <c r="D2555" s="4" t="str">
        <f>"2021024025"</f>
        <v>2021024025</v>
      </c>
      <c r="E2555" s="4" t="str">
        <f t="shared" ref="E2555:E2560" si="317">"40"</f>
        <v>40</v>
      </c>
      <c r="F2555" s="4" t="str">
        <f>"25"</f>
        <v>25</v>
      </c>
      <c r="G2555" s="4" t="s">
        <v>27</v>
      </c>
      <c r="H2555" s="5">
        <v>46.41</v>
      </c>
      <c r="I2555" s="4"/>
      <c r="J2555" s="4">
        <f>SUMPRODUCT(--((A2555=$A$3:$A$2785)*$H$3:$H$2785&gt;H2555))+1</f>
        <v>36</v>
      </c>
    </row>
    <row r="2556" s="1" customFormat="true" customHeight="true" spans="1:10">
      <c r="A2556" s="4" t="str">
        <f t="shared" si="306"/>
        <v>034</v>
      </c>
      <c r="B2556" s="4" t="s">
        <v>46</v>
      </c>
      <c r="C2556" s="4" t="str">
        <f>"舒晓林"</f>
        <v>舒晓林</v>
      </c>
      <c r="D2556" s="4" t="str">
        <f>"2021024214"</f>
        <v>2021024214</v>
      </c>
      <c r="E2556" s="4" t="str">
        <f>"42"</f>
        <v>42</v>
      </c>
      <c r="F2556" s="4" t="str">
        <f>"14"</f>
        <v>14</v>
      </c>
      <c r="G2556" s="4" t="s">
        <v>27</v>
      </c>
      <c r="H2556" s="5">
        <v>46.36</v>
      </c>
      <c r="I2556" s="4"/>
      <c r="J2556" s="4">
        <f>SUMPRODUCT(--((A2556=$A$3:$A$2785)*$H$3:$H$2785&gt;H2556))+1</f>
        <v>37</v>
      </c>
    </row>
    <row r="2557" s="1" customFormat="true" customHeight="true" spans="1:10">
      <c r="A2557" s="4" t="str">
        <f t="shared" si="306"/>
        <v>034</v>
      </c>
      <c r="B2557" s="4" t="s">
        <v>46</v>
      </c>
      <c r="C2557" s="4" t="str">
        <f>"张锡佳"</f>
        <v>张锡佳</v>
      </c>
      <c r="D2557" s="4" t="str">
        <f>"2021024119"</f>
        <v>2021024119</v>
      </c>
      <c r="E2557" s="4" t="str">
        <f t="shared" si="316"/>
        <v>41</v>
      </c>
      <c r="F2557" s="4" t="str">
        <f>"19"</f>
        <v>19</v>
      </c>
      <c r="G2557" s="4" t="s">
        <v>27</v>
      </c>
      <c r="H2557" s="5">
        <v>46.3</v>
      </c>
      <c r="I2557" s="4"/>
      <c r="J2557" s="4">
        <f>SUMPRODUCT(--((A2557=$A$3:$A$2785)*$H$3:$H$2785&gt;H2557))+1</f>
        <v>38</v>
      </c>
    </row>
    <row r="2558" s="1" customFormat="true" customHeight="true" spans="1:10">
      <c r="A2558" s="4" t="str">
        <f t="shared" si="306"/>
        <v>034</v>
      </c>
      <c r="B2558" s="4" t="s">
        <v>46</v>
      </c>
      <c r="C2558" s="4" t="str">
        <f>"张娟"</f>
        <v>张娟</v>
      </c>
      <c r="D2558" s="4" t="str">
        <f>"2021024206"</f>
        <v>2021024206</v>
      </c>
      <c r="E2558" s="4" t="str">
        <f>"42"</f>
        <v>42</v>
      </c>
      <c r="F2558" s="4" t="str">
        <f>"06"</f>
        <v>06</v>
      </c>
      <c r="G2558" s="4" t="s">
        <v>27</v>
      </c>
      <c r="H2558" s="5">
        <v>46.26</v>
      </c>
      <c r="I2558" s="4"/>
      <c r="J2558" s="4">
        <f>SUMPRODUCT(--((A2558=$A$3:$A$2785)*$H$3:$H$2785&gt;H2558))+1</f>
        <v>39</v>
      </c>
    </row>
    <row r="2559" s="1" customFormat="true" customHeight="true" spans="1:10">
      <c r="A2559" s="4" t="str">
        <f t="shared" si="306"/>
        <v>034</v>
      </c>
      <c r="B2559" s="4" t="s">
        <v>46</v>
      </c>
      <c r="C2559" s="4" t="str">
        <f>"向俊红"</f>
        <v>向俊红</v>
      </c>
      <c r="D2559" s="4" t="str">
        <f>"2021024017"</f>
        <v>2021024017</v>
      </c>
      <c r="E2559" s="4" t="str">
        <f t="shared" si="317"/>
        <v>40</v>
      </c>
      <c r="F2559" s="4" t="str">
        <f>"17"</f>
        <v>17</v>
      </c>
      <c r="G2559" s="4" t="s">
        <v>27</v>
      </c>
      <c r="H2559" s="5">
        <v>46.13</v>
      </c>
      <c r="I2559" s="4"/>
      <c r="J2559" s="4">
        <f>SUMPRODUCT(--((A2559=$A$3:$A$2785)*$H$3:$H$2785&gt;H2559))+1</f>
        <v>40</v>
      </c>
    </row>
    <row r="2560" s="1" customFormat="true" customHeight="true" spans="1:10">
      <c r="A2560" s="4" t="str">
        <f t="shared" si="306"/>
        <v>034</v>
      </c>
      <c r="B2560" s="4" t="s">
        <v>46</v>
      </c>
      <c r="C2560" s="4" t="str">
        <f>"龙福燕"</f>
        <v>龙福燕</v>
      </c>
      <c r="D2560" s="4" t="str">
        <f>"2021024022"</f>
        <v>2021024022</v>
      </c>
      <c r="E2560" s="4" t="str">
        <f t="shared" si="317"/>
        <v>40</v>
      </c>
      <c r="F2560" s="4" t="str">
        <f>"22"</f>
        <v>22</v>
      </c>
      <c r="G2560" s="4" t="s">
        <v>27</v>
      </c>
      <c r="H2560" s="5">
        <v>43.7</v>
      </c>
      <c r="I2560" s="4"/>
      <c r="J2560" s="4">
        <f>SUMPRODUCT(--((A2560=$A$3:$A$2785)*$H$3:$H$2785&gt;H2560))+1</f>
        <v>41</v>
      </c>
    </row>
    <row r="2561" s="1" customFormat="true" customHeight="true" spans="1:10">
      <c r="A2561" s="4" t="str">
        <f t="shared" si="306"/>
        <v>034</v>
      </c>
      <c r="B2561" s="4" t="s">
        <v>46</v>
      </c>
      <c r="C2561" s="4" t="str">
        <f>"杨雅惠"</f>
        <v>杨雅惠</v>
      </c>
      <c r="D2561" s="4" t="str">
        <f>"2021024115"</f>
        <v>2021024115</v>
      </c>
      <c r="E2561" s="4" t="str">
        <f>"41"</f>
        <v>41</v>
      </c>
      <c r="F2561" s="4" t="str">
        <f>"15"</f>
        <v>15</v>
      </c>
      <c r="G2561" s="4" t="s">
        <v>27</v>
      </c>
      <c r="H2561" s="5">
        <v>41.75</v>
      </c>
      <c r="I2561" s="4"/>
      <c r="J2561" s="4">
        <f>SUMPRODUCT(--((A2561=$A$3:$A$2785)*$H$3:$H$2785&gt;H2561))+1</f>
        <v>42</v>
      </c>
    </row>
    <row r="2562" s="1" customFormat="true" customHeight="true" spans="1:10">
      <c r="A2562" s="4" t="str">
        <f t="shared" si="306"/>
        <v>034</v>
      </c>
      <c r="B2562" s="4" t="s">
        <v>46</v>
      </c>
      <c r="C2562" s="4" t="str">
        <f>"丁鼎"</f>
        <v>丁鼎</v>
      </c>
      <c r="D2562" s="4" t="str">
        <f>"2021024012"</f>
        <v>2021024012</v>
      </c>
      <c r="E2562" s="4" t="str">
        <f t="shared" ref="E2562:E2568" si="318">"40"</f>
        <v>40</v>
      </c>
      <c r="F2562" s="4" t="str">
        <f>"12"</f>
        <v>12</v>
      </c>
      <c r="G2562" s="4" t="s">
        <v>27</v>
      </c>
      <c r="H2562" s="5">
        <v>0</v>
      </c>
      <c r="I2562" s="6" t="s">
        <v>13</v>
      </c>
      <c r="J2562" s="4">
        <f>SUMPRODUCT(--((A2562=$A$3:$A$2785)*$H$3:$H$2785&gt;H2562))+1</f>
        <v>43</v>
      </c>
    </row>
    <row r="2563" s="1" customFormat="true" customHeight="true" spans="1:10">
      <c r="A2563" s="4" t="str">
        <f t="shared" si="306"/>
        <v>034</v>
      </c>
      <c r="B2563" s="4" t="s">
        <v>46</v>
      </c>
      <c r="C2563" s="4" t="str">
        <f>"黄茂叶"</f>
        <v>黄茂叶</v>
      </c>
      <c r="D2563" s="4" t="str">
        <f>"2021024016"</f>
        <v>2021024016</v>
      </c>
      <c r="E2563" s="4" t="str">
        <f t="shared" si="318"/>
        <v>40</v>
      </c>
      <c r="F2563" s="4" t="str">
        <f>"16"</f>
        <v>16</v>
      </c>
      <c r="G2563" s="4" t="s">
        <v>27</v>
      </c>
      <c r="H2563" s="5">
        <v>0</v>
      </c>
      <c r="I2563" s="6" t="s">
        <v>13</v>
      </c>
      <c r="J2563" s="4">
        <f>SUMPRODUCT(--((A2563=$A$3:$A$2785)*$H$3:$H$2785&gt;H2563))+1</f>
        <v>43</v>
      </c>
    </row>
    <row r="2564" s="1" customFormat="true" customHeight="true" spans="1:10">
      <c r="A2564" s="4" t="str">
        <f t="shared" si="306"/>
        <v>034</v>
      </c>
      <c r="B2564" s="4" t="s">
        <v>46</v>
      </c>
      <c r="C2564" s="4" t="str">
        <f>"龚文静"</f>
        <v>龚文静</v>
      </c>
      <c r="D2564" s="4" t="str">
        <f>"2021024018"</f>
        <v>2021024018</v>
      </c>
      <c r="E2564" s="4" t="str">
        <f t="shared" si="318"/>
        <v>40</v>
      </c>
      <c r="F2564" s="4" t="str">
        <f>"18"</f>
        <v>18</v>
      </c>
      <c r="G2564" s="4" t="s">
        <v>27</v>
      </c>
      <c r="H2564" s="5">
        <v>0</v>
      </c>
      <c r="I2564" s="6" t="s">
        <v>13</v>
      </c>
      <c r="J2564" s="4">
        <f>SUMPRODUCT(--((A2564=$A$3:$A$2785)*$H$3:$H$2785&gt;H2564))+1</f>
        <v>43</v>
      </c>
    </row>
    <row r="2565" s="1" customFormat="true" customHeight="true" spans="1:10">
      <c r="A2565" s="4" t="str">
        <f t="shared" si="306"/>
        <v>034</v>
      </c>
      <c r="B2565" s="4" t="s">
        <v>46</v>
      </c>
      <c r="C2565" s="4" t="str">
        <f>"卢依嘉"</f>
        <v>卢依嘉</v>
      </c>
      <c r="D2565" s="4" t="str">
        <f>"2021024019"</f>
        <v>2021024019</v>
      </c>
      <c r="E2565" s="4" t="str">
        <f t="shared" si="318"/>
        <v>40</v>
      </c>
      <c r="F2565" s="4" t="str">
        <f>"19"</f>
        <v>19</v>
      </c>
      <c r="G2565" s="4" t="s">
        <v>27</v>
      </c>
      <c r="H2565" s="5">
        <v>0</v>
      </c>
      <c r="I2565" s="6" t="s">
        <v>13</v>
      </c>
      <c r="J2565" s="4">
        <f>SUMPRODUCT(--((A2565=$A$3:$A$2785)*$H$3:$H$2785&gt;H2565))+1</f>
        <v>43</v>
      </c>
    </row>
    <row r="2566" s="1" customFormat="true" customHeight="true" spans="1:10">
      <c r="A2566" s="4" t="str">
        <f t="shared" si="306"/>
        <v>034</v>
      </c>
      <c r="B2566" s="4" t="s">
        <v>46</v>
      </c>
      <c r="C2566" s="4" t="str">
        <f>"李丹妮"</f>
        <v>李丹妮</v>
      </c>
      <c r="D2566" s="4" t="str">
        <f>"2021024024"</f>
        <v>2021024024</v>
      </c>
      <c r="E2566" s="4" t="str">
        <f t="shared" si="318"/>
        <v>40</v>
      </c>
      <c r="F2566" s="4" t="str">
        <f>"24"</f>
        <v>24</v>
      </c>
      <c r="G2566" s="4" t="s">
        <v>27</v>
      </c>
      <c r="H2566" s="5">
        <v>0</v>
      </c>
      <c r="I2566" s="6" t="s">
        <v>13</v>
      </c>
      <c r="J2566" s="4">
        <f>SUMPRODUCT(--((A2566=$A$3:$A$2785)*$H$3:$H$2785&gt;H2566))+1</f>
        <v>43</v>
      </c>
    </row>
    <row r="2567" s="1" customFormat="true" customHeight="true" spans="1:10">
      <c r="A2567" s="4" t="str">
        <f t="shared" si="306"/>
        <v>034</v>
      </c>
      <c r="B2567" s="4" t="s">
        <v>46</v>
      </c>
      <c r="C2567" s="4" t="str">
        <f>"杨景舒"</f>
        <v>杨景舒</v>
      </c>
      <c r="D2567" s="4" t="str">
        <f>"2021024026"</f>
        <v>2021024026</v>
      </c>
      <c r="E2567" s="4" t="str">
        <f t="shared" si="318"/>
        <v>40</v>
      </c>
      <c r="F2567" s="4" t="str">
        <f>"26"</f>
        <v>26</v>
      </c>
      <c r="G2567" s="4" t="s">
        <v>27</v>
      </c>
      <c r="H2567" s="5">
        <v>0</v>
      </c>
      <c r="I2567" s="6" t="s">
        <v>13</v>
      </c>
      <c r="J2567" s="4">
        <f>SUMPRODUCT(--((A2567=$A$3:$A$2785)*$H$3:$H$2785&gt;H2567))+1</f>
        <v>43</v>
      </c>
    </row>
    <row r="2568" s="1" customFormat="true" customHeight="true" spans="1:10">
      <c r="A2568" s="4" t="str">
        <f t="shared" si="306"/>
        <v>034</v>
      </c>
      <c r="B2568" s="4" t="s">
        <v>46</v>
      </c>
      <c r="C2568" s="4" t="str">
        <f>"周泽宇"</f>
        <v>周泽宇</v>
      </c>
      <c r="D2568" s="4" t="str">
        <f>"2021024029"</f>
        <v>2021024029</v>
      </c>
      <c r="E2568" s="4" t="str">
        <f t="shared" si="318"/>
        <v>40</v>
      </c>
      <c r="F2568" s="4" t="str">
        <f>"29"</f>
        <v>29</v>
      </c>
      <c r="G2568" s="4" t="s">
        <v>27</v>
      </c>
      <c r="H2568" s="5">
        <v>0</v>
      </c>
      <c r="I2568" s="6" t="s">
        <v>13</v>
      </c>
      <c r="J2568" s="4">
        <f>SUMPRODUCT(--((A2568=$A$3:$A$2785)*$H$3:$H$2785&gt;H2568))+1</f>
        <v>43</v>
      </c>
    </row>
    <row r="2569" s="1" customFormat="true" customHeight="true" spans="1:10">
      <c r="A2569" s="4" t="str">
        <f t="shared" si="306"/>
        <v>034</v>
      </c>
      <c r="B2569" s="4" t="s">
        <v>46</v>
      </c>
      <c r="C2569" s="4" t="str">
        <f>"王颖"</f>
        <v>王颖</v>
      </c>
      <c r="D2569" s="4" t="str">
        <f>"2021024101"</f>
        <v>2021024101</v>
      </c>
      <c r="E2569" s="4" t="str">
        <f t="shared" ref="E2569:E2580" si="319">"41"</f>
        <v>41</v>
      </c>
      <c r="F2569" s="4" t="str">
        <f>"01"</f>
        <v>01</v>
      </c>
      <c r="G2569" s="4" t="s">
        <v>27</v>
      </c>
      <c r="H2569" s="5">
        <v>0</v>
      </c>
      <c r="I2569" s="6" t="s">
        <v>13</v>
      </c>
      <c r="J2569" s="4">
        <f>SUMPRODUCT(--((A2569=$A$3:$A$2785)*$H$3:$H$2785&gt;H2569))+1</f>
        <v>43</v>
      </c>
    </row>
    <row r="2570" s="1" customFormat="true" customHeight="true" spans="1:10">
      <c r="A2570" s="4" t="str">
        <f t="shared" si="306"/>
        <v>034</v>
      </c>
      <c r="B2570" s="4" t="s">
        <v>46</v>
      </c>
      <c r="C2570" s="4" t="str">
        <f>"于婷"</f>
        <v>于婷</v>
      </c>
      <c r="D2570" s="4" t="str">
        <f>"2021024102"</f>
        <v>2021024102</v>
      </c>
      <c r="E2570" s="4" t="str">
        <f t="shared" si="319"/>
        <v>41</v>
      </c>
      <c r="F2570" s="4" t="str">
        <f>"02"</f>
        <v>02</v>
      </c>
      <c r="G2570" s="4" t="s">
        <v>27</v>
      </c>
      <c r="H2570" s="5">
        <v>0</v>
      </c>
      <c r="I2570" s="6" t="s">
        <v>13</v>
      </c>
      <c r="J2570" s="4">
        <f>SUMPRODUCT(--((A2570=$A$3:$A$2785)*$H$3:$H$2785&gt;H2570))+1</f>
        <v>43</v>
      </c>
    </row>
    <row r="2571" s="1" customFormat="true" customHeight="true" spans="1:10">
      <c r="A2571" s="4" t="str">
        <f t="shared" si="306"/>
        <v>034</v>
      </c>
      <c r="B2571" s="4" t="s">
        <v>46</v>
      </c>
      <c r="C2571" s="4" t="str">
        <f>"尹俪锡"</f>
        <v>尹俪锡</v>
      </c>
      <c r="D2571" s="4" t="str">
        <f>"2021024103"</f>
        <v>2021024103</v>
      </c>
      <c r="E2571" s="4" t="str">
        <f t="shared" si="319"/>
        <v>41</v>
      </c>
      <c r="F2571" s="4" t="str">
        <f>"03"</f>
        <v>03</v>
      </c>
      <c r="G2571" s="4" t="s">
        <v>27</v>
      </c>
      <c r="H2571" s="5">
        <v>0</v>
      </c>
      <c r="I2571" s="6" t="s">
        <v>13</v>
      </c>
      <c r="J2571" s="4">
        <f>SUMPRODUCT(--((A2571=$A$3:$A$2785)*$H$3:$H$2785&gt;H2571))+1</f>
        <v>43</v>
      </c>
    </row>
    <row r="2572" s="1" customFormat="true" customHeight="true" spans="1:10">
      <c r="A2572" s="4" t="str">
        <f t="shared" si="306"/>
        <v>034</v>
      </c>
      <c r="B2572" s="4" t="s">
        <v>46</v>
      </c>
      <c r="C2572" s="4" t="str">
        <f>"向春春"</f>
        <v>向春春</v>
      </c>
      <c r="D2572" s="4" t="str">
        <f>"2021024104"</f>
        <v>2021024104</v>
      </c>
      <c r="E2572" s="4" t="str">
        <f t="shared" si="319"/>
        <v>41</v>
      </c>
      <c r="F2572" s="4" t="str">
        <f>"04"</f>
        <v>04</v>
      </c>
      <c r="G2572" s="4" t="s">
        <v>27</v>
      </c>
      <c r="H2572" s="5">
        <v>0</v>
      </c>
      <c r="I2572" s="6" t="s">
        <v>13</v>
      </c>
      <c r="J2572" s="4">
        <f>SUMPRODUCT(--((A2572=$A$3:$A$2785)*$H$3:$H$2785&gt;H2572))+1</f>
        <v>43</v>
      </c>
    </row>
    <row r="2573" s="1" customFormat="true" customHeight="true" spans="1:10">
      <c r="A2573" s="4" t="str">
        <f t="shared" si="306"/>
        <v>034</v>
      </c>
      <c r="B2573" s="4" t="s">
        <v>46</v>
      </c>
      <c r="C2573" s="4" t="str">
        <f>"彭佳"</f>
        <v>彭佳</v>
      </c>
      <c r="D2573" s="4" t="str">
        <f>"2021024105"</f>
        <v>2021024105</v>
      </c>
      <c r="E2573" s="4" t="str">
        <f t="shared" si="319"/>
        <v>41</v>
      </c>
      <c r="F2573" s="4" t="str">
        <f>"05"</f>
        <v>05</v>
      </c>
      <c r="G2573" s="4" t="s">
        <v>27</v>
      </c>
      <c r="H2573" s="5">
        <v>0</v>
      </c>
      <c r="I2573" s="6" t="s">
        <v>13</v>
      </c>
      <c r="J2573" s="4">
        <f>SUMPRODUCT(--((A2573=$A$3:$A$2785)*$H$3:$H$2785&gt;H2573))+1</f>
        <v>43</v>
      </c>
    </row>
    <row r="2574" s="1" customFormat="true" customHeight="true" spans="1:10">
      <c r="A2574" s="4" t="str">
        <f t="shared" si="306"/>
        <v>034</v>
      </c>
      <c r="B2574" s="4" t="s">
        <v>46</v>
      </c>
      <c r="C2574" s="4" t="str">
        <f>"段丽芬"</f>
        <v>段丽芬</v>
      </c>
      <c r="D2574" s="4" t="str">
        <f>"2021024106"</f>
        <v>2021024106</v>
      </c>
      <c r="E2574" s="4" t="str">
        <f t="shared" si="319"/>
        <v>41</v>
      </c>
      <c r="F2574" s="4" t="str">
        <f>"06"</f>
        <v>06</v>
      </c>
      <c r="G2574" s="4" t="s">
        <v>27</v>
      </c>
      <c r="H2574" s="5">
        <v>0</v>
      </c>
      <c r="I2574" s="6" t="s">
        <v>13</v>
      </c>
      <c r="J2574" s="4">
        <f>SUMPRODUCT(--((A2574=$A$3:$A$2785)*$H$3:$H$2785&gt;H2574))+1</f>
        <v>43</v>
      </c>
    </row>
    <row r="2575" s="1" customFormat="true" customHeight="true" spans="1:10">
      <c r="A2575" s="4" t="str">
        <f t="shared" si="306"/>
        <v>034</v>
      </c>
      <c r="B2575" s="4" t="s">
        <v>46</v>
      </c>
      <c r="C2575" s="4" t="str">
        <f>"刘慧敏"</f>
        <v>刘慧敏</v>
      </c>
      <c r="D2575" s="4" t="str">
        <f>"2021024109"</f>
        <v>2021024109</v>
      </c>
      <c r="E2575" s="4" t="str">
        <f t="shared" si="319"/>
        <v>41</v>
      </c>
      <c r="F2575" s="4" t="str">
        <f>"09"</f>
        <v>09</v>
      </c>
      <c r="G2575" s="4" t="s">
        <v>27</v>
      </c>
      <c r="H2575" s="5">
        <v>0</v>
      </c>
      <c r="I2575" s="6" t="s">
        <v>13</v>
      </c>
      <c r="J2575" s="4">
        <f>SUMPRODUCT(--((A2575=$A$3:$A$2785)*$H$3:$H$2785&gt;H2575))+1</f>
        <v>43</v>
      </c>
    </row>
    <row r="2576" s="1" customFormat="true" customHeight="true" spans="1:10">
      <c r="A2576" s="4" t="str">
        <f t="shared" si="306"/>
        <v>034</v>
      </c>
      <c r="B2576" s="4" t="s">
        <v>46</v>
      </c>
      <c r="C2576" s="4" t="str">
        <f>"熊雅菲"</f>
        <v>熊雅菲</v>
      </c>
      <c r="D2576" s="4" t="str">
        <f>"2021024110"</f>
        <v>2021024110</v>
      </c>
      <c r="E2576" s="4" t="str">
        <f t="shared" si="319"/>
        <v>41</v>
      </c>
      <c r="F2576" s="4" t="str">
        <f>"10"</f>
        <v>10</v>
      </c>
      <c r="G2576" s="4" t="s">
        <v>27</v>
      </c>
      <c r="H2576" s="5">
        <v>0</v>
      </c>
      <c r="I2576" s="6" t="s">
        <v>13</v>
      </c>
      <c r="J2576" s="4">
        <f>SUMPRODUCT(--((A2576=$A$3:$A$2785)*$H$3:$H$2785&gt;H2576))+1</f>
        <v>43</v>
      </c>
    </row>
    <row r="2577" s="1" customFormat="true" customHeight="true" spans="1:10">
      <c r="A2577" s="4" t="str">
        <f t="shared" si="306"/>
        <v>034</v>
      </c>
      <c r="B2577" s="4" t="s">
        <v>46</v>
      </c>
      <c r="C2577" s="4" t="str">
        <f>"易萱"</f>
        <v>易萱</v>
      </c>
      <c r="D2577" s="4" t="str">
        <f>"2021024118"</f>
        <v>2021024118</v>
      </c>
      <c r="E2577" s="4" t="str">
        <f t="shared" si="319"/>
        <v>41</v>
      </c>
      <c r="F2577" s="4" t="str">
        <f>"18"</f>
        <v>18</v>
      </c>
      <c r="G2577" s="4" t="s">
        <v>27</v>
      </c>
      <c r="H2577" s="5">
        <v>0</v>
      </c>
      <c r="I2577" s="6" t="s">
        <v>13</v>
      </c>
      <c r="J2577" s="4">
        <f>SUMPRODUCT(--((A2577=$A$3:$A$2785)*$H$3:$H$2785&gt;H2577))+1</f>
        <v>43</v>
      </c>
    </row>
    <row r="2578" s="1" customFormat="true" customHeight="true" spans="1:10">
      <c r="A2578" s="4" t="str">
        <f t="shared" si="306"/>
        <v>034</v>
      </c>
      <c r="B2578" s="4" t="s">
        <v>46</v>
      </c>
      <c r="C2578" s="4" t="str">
        <f>"翦英曼"</f>
        <v>翦英曼</v>
      </c>
      <c r="D2578" s="4" t="str">
        <f>"2021024120"</f>
        <v>2021024120</v>
      </c>
      <c r="E2578" s="4" t="str">
        <f t="shared" si="319"/>
        <v>41</v>
      </c>
      <c r="F2578" s="4" t="str">
        <f>"20"</f>
        <v>20</v>
      </c>
      <c r="G2578" s="4" t="s">
        <v>27</v>
      </c>
      <c r="H2578" s="5">
        <v>0</v>
      </c>
      <c r="I2578" s="6" t="s">
        <v>13</v>
      </c>
      <c r="J2578" s="4">
        <f>SUMPRODUCT(--((A2578=$A$3:$A$2785)*$H$3:$H$2785&gt;H2578))+1</f>
        <v>43</v>
      </c>
    </row>
    <row r="2579" s="1" customFormat="true" customHeight="true" spans="1:10">
      <c r="A2579" s="4" t="str">
        <f t="shared" si="306"/>
        <v>034</v>
      </c>
      <c r="B2579" s="4" t="s">
        <v>46</v>
      </c>
      <c r="C2579" s="4" t="str">
        <f>" 荆敏"</f>
        <v> 荆敏</v>
      </c>
      <c r="D2579" s="4" t="str">
        <f>"2021024126"</f>
        <v>2021024126</v>
      </c>
      <c r="E2579" s="4" t="str">
        <f t="shared" si="319"/>
        <v>41</v>
      </c>
      <c r="F2579" s="4" t="str">
        <f>"26"</f>
        <v>26</v>
      </c>
      <c r="G2579" s="4" t="s">
        <v>27</v>
      </c>
      <c r="H2579" s="5">
        <v>0</v>
      </c>
      <c r="I2579" s="6" t="s">
        <v>13</v>
      </c>
      <c r="J2579" s="4">
        <f>SUMPRODUCT(--((A2579=$A$3:$A$2785)*$H$3:$H$2785&gt;H2579))+1</f>
        <v>43</v>
      </c>
    </row>
    <row r="2580" s="1" customFormat="true" customHeight="true" spans="1:10">
      <c r="A2580" s="4" t="str">
        <f t="shared" si="306"/>
        <v>034</v>
      </c>
      <c r="B2580" s="4" t="s">
        <v>46</v>
      </c>
      <c r="C2580" s="4" t="str">
        <f>"肖瑶"</f>
        <v>肖瑶</v>
      </c>
      <c r="D2580" s="4" t="str">
        <f>"2021024129"</f>
        <v>2021024129</v>
      </c>
      <c r="E2580" s="4" t="str">
        <f t="shared" si="319"/>
        <v>41</v>
      </c>
      <c r="F2580" s="4" t="str">
        <f>"29"</f>
        <v>29</v>
      </c>
      <c r="G2580" s="4" t="s">
        <v>27</v>
      </c>
      <c r="H2580" s="5">
        <v>0</v>
      </c>
      <c r="I2580" s="6" t="s">
        <v>13</v>
      </c>
      <c r="J2580" s="4">
        <f>SUMPRODUCT(--((A2580=$A$3:$A$2785)*$H$3:$H$2785&gt;H2580))+1</f>
        <v>43</v>
      </c>
    </row>
    <row r="2581" s="1" customFormat="true" customHeight="true" spans="1:10">
      <c r="A2581" s="4" t="str">
        <f t="shared" si="306"/>
        <v>034</v>
      </c>
      <c r="B2581" s="4" t="s">
        <v>46</v>
      </c>
      <c r="C2581" s="4" t="str">
        <f>"贺建辉"</f>
        <v>贺建辉</v>
      </c>
      <c r="D2581" s="4" t="str">
        <f>"2021024207"</f>
        <v>2021024207</v>
      </c>
      <c r="E2581" s="4" t="str">
        <f t="shared" ref="E2581:E2587" si="320">"42"</f>
        <v>42</v>
      </c>
      <c r="F2581" s="4" t="str">
        <f>"07"</f>
        <v>07</v>
      </c>
      <c r="G2581" s="4" t="s">
        <v>27</v>
      </c>
      <c r="H2581" s="5">
        <v>0</v>
      </c>
      <c r="I2581" s="6" t="s">
        <v>13</v>
      </c>
      <c r="J2581" s="4">
        <f>SUMPRODUCT(--((A2581=$A$3:$A$2785)*$H$3:$H$2785&gt;H2581))+1</f>
        <v>43</v>
      </c>
    </row>
    <row r="2582" s="1" customFormat="true" customHeight="true" spans="1:10">
      <c r="A2582" s="4" t="str">
        <f t="shared" si="306"/>
        <v>034</v>
      </c>
      <c r="B2582" s="4" t="s">
        <v>46</v>
      </c>
      <c r="C2582" s="4" t="str">
        <f>"颜莹"</f>
        <v>颜莹</v>
      </c>
      <c r="D2582" s="4" t="str">
        <f>"2021024209"</f>
        <v>2021024209</v>
      </c>
      <c r="E2582" s="4" t="str">
        <f t="shared" si="320"/>
        <v>42</v>
      </c>
      <c r="F2582" s="4" t="str">
        <f>"09"</f>
        <v>09</v>
      </c>
      <c r="G2582" s="4" t="s">
        <v>27</v>
      </c>
      <c r="H2582" s="5">
        <v>0</v>
      </c>
      <c r="I2582" s="6" t="s">
        <v>13</v>
      </c>
      <c r="J2582" s="4">
        <f>SUMPRODUCT(--((A2582=$A$3:$A$2785)*$H$3:$H$2785&gt;H2582))+1</f>
        <v>43</v>
      </c>
    </row>
    <row r="2583" s="1" customFormat="true" customHeight="true" spans="1:10">
      <c r="A2583" s="4" t="str">
        <f t="shared" si="306"/>
        <v>034</v>
      </c>
      <c r="B2583" s="4" t="s">
        <v>46</v>
      </c>
      <c r="C2583" s="4" t="str">
        <f>"张爱苹"</f>
        <v>张爱苹</v>
      </c>
      <c r="D2583" s="4" t="str">
        <f>"2021024210"</f>
        <v>2021024210</v>
      </c>
      <c r="E2583" s="4" t="str">
        <f t="shared" si="320"/>
        <v>42</v>
      </c>
      <c r="F2583" s="4" t="str">
        <f>"10"</f>
        <v>10</v>
      </c>
      <c r="G2583" s="4" t="s">
        <v>27</v>
      </c>
      <c r="H2583" s="5">
        <v>0</v>
      </c>
      <c r="I2583" s="6" t="s">
        <v>13</v>
      </c>
      <c r="J2583" s="4">
        <f>SUMPRODUCT(--((A2583=$A$3:$A$2785)*$H$3:$H$2785&gt;H2583))+1</f>
        <v>43</v>
      </c>
    </row>
    <row r="2584" s="1" customFormat="true" customHeight="true" spans="1:10">
      <c r="A2584" s="4" t="str">
        <f t="shared" ref="A2584:A2587" si="321">"034"</f>
        <v>034</v>
      </c>
      <c r="B2584" s="4" t="s">
        <v>46</v>
      </c>
      <c r="C2584" s="4" t="str">
        <f>"段召君"</f>
        <v>段召君</v>
      </c>
      <c r="D2584" s="4" t="str">
        <f>"2021024211"</f>
        <v>2021024211</v>
      </c>
      <c r="E2584" s="4" t="str">
        <f t="shared" si="320"/>
        <v>42</v>
      </c>
      <c r="F2584" s="4" t="str">
        <f>"11"</f>
        <v>11</v>
      </c>
      <c r="G2584" s="4" t="s">
        <v>27</v>
      </c>
      <c r="H2584" s="5">
        <v>0</v>
      </c>
      <c r="I2584" s="6" t="s">
        <v>13</v>
      </c>
      <c r="J2584" s="4">
        <f>SUMPRODUCT(--((A2584=$A$3:$A$2785)*$H$3:$H$2785&gt;H2584))+1</f>
        <v>43</v>
      </c>
    </row>
    <row r="2585" s="1" customFormat="true" customHeight="true" spans="1:10">
      <c r="A2585" s="4" t="str">
        <f t="shared" si="321"/>
        <v>034</v>
      </c>
      <c r="B2585" s="4" t="s">
        <v>46</v>
      </c>
      <c r="C2585" s="4" t="str">
        <f>"罗倩"</f>
        <v>罗倩</v>
      </c>
      <c r="D2585" s="4" t="str">
        <f>"2021024212"</f>
        <v>2021024212</v>
      </c>
      <c r="E2585" s="4" t="str">
        <f t="shared" si="320"/>
        <v>42</v>
      </c>
      <c r="F2585" s="4" t="str">
        <f>"12"</f>
        <v>12</v>
      </c>
      <c r="G2585" s="4" t="s">
        <v>27</v>
      </c>
      <c r="H2585" s="5">
        <v>0</v>
      </c>
      <c r="I2585" s="6" t="s">
        <v>13</v>
      </c>
      <c r="J2585" s="4">
        <f>SUMPRODUCT(--((A2585=$A$3:$A$2785)*$H$3:$H$2785&gt;H2585))+1</f>
        <v>43</v>
      </c>
    </row>
    <row r="2586" s="1" customFormat="true" customHeight="true" spans="1:10">
      <c r="A2586" s="4" t="str">
        <f t="shared" si="321"/>
        <v>034</v>
      </c>
      <c r="B2586" s="4" t="s">
        <v>46</v>
      </c>
      <c r="C2586" s="4" t="str">
        <f>"姜雅林"</f>
        <v>姜雅林</v>
      </c>
      <c r="D2586" s="4" t="str">
        <f>"2021024215"</f>
        <v>2021024215</v>
      </c>
      <c r="E2586" s="4" t="str">
        <f t="shared" si="320"/>
        <v>42</v>
      </c>
      <c r="F2586" s="4" t="str">
        <f>"15"</f>
        <v>15</v>
      </c>
      <c r="G2586" s="4" t="s">
        <v>27</v>
      </c>
      <c r="H2586" s="5">
        <v>0</v>
      </c>
      <c r="I2586" s="6" t="s">
        <v>13</v>
      </c>
      <c r="J2586" s="4">
        <f>SUMPRODUCT(--((A2586=$A$3:$A$2785)*$H$3:$H$2785&gt;H2586))+1</f>
        <v>43</v>
      </c>
    </row>
    <row r="2587" s="1" customFormat="true" customHeight="true" spans="1:10">
      <c r="A2587" s="4" t="str">
        <f t="shared" si="321"/>
        <v>034</v>
      </c>
      <c r="B2587" s="4" t="s">
        <v>46</v>
      </c>
      <c r="C2587" s="4" t="str">
        <f>"符琦"</f>
        <v>符琦</v>
      </c>
      <c r="D2587" s="4" t="str">
        <f>"2021024216"</f>
        <v>2021024216</v>
      </c>
      <c r="E2587" s="4" t="str">
        <f t="shared" si="320"/>
        <v>42</v>
      </c>
      <c r="F2587" s="4" t="str">
        <f>"16"</f>
        <v>16</v>
      </c>
      <c r="G2587" s="4" t="s">
        <v>27</v>
      </c>
      <c r="H2587" s="5">
        <v>0</v>
      </c>
      <c r="I2587" s="6" t="s">
        <v>13</v>
      </c>
      <c r="J2587" s="4">
        <f>SUMPRODUCT(--((A2587=$A$3:$A$2785)*$H$3:$H$2785&gt;H2587))+1</f>
        <v>43</v>
      </c>
    </row>
    <row r="2588" s="1" customFormat="true" customHeight="true" spans="1:10">
      <c r="A2588" s="4" t="str">
        <f t="shared" ref="A2588:A2592" si="322">"035"</f>
        <v>035</v>
      </c>
      <c r="B2588" s="4" t="s">
        <v>47</v>
      </c>
      <c r="C2588" s="4" t="str">
        <f>"杨顺松"</f>
        <v>杨顺松</v>
      </c>
      <c r="D2588" s="4" t="str">
        <f>"2021021930"</f>
        <v>2021021930</v>
      </c>
      <c r="E2588" s="4" t="str">
        <f>"19"</f>
        <v>19</v>
      </c>
      <c r="F2588" s="4" t="str">
        <f>"30"</f>
        <v>30</v>
      </c>
      <c r="G2588" s="4" t="s">
        <v>27</v>
      </c>
      <c r="H2588" s="5">
        <v>63.1</v>
      </c>
      <c r="I2588" s="4"/>
      <c r="J2588" s="4">
        <f>SUMPRODUCT(--((A2588=$A$3:$A$2785)*$H$3:$H$2785&gt;H2588))+1</f>
        <v>1</v>
      </c>
    </row>
    <row r="2589" s="1" customFormat="true" customHeight="true" spans="1:10">
      <c r="A2589" s="4" t="str">
        <f t="shared" si="322"/>
        <v>035</v>
      </c>
      <c r="B2589" s="4" t="s">
        <v>47</v>
      </c>
      <c r="C2589" s="4" t="str">
        <f>"易子程"</f>
        <v>易子程</v>
      </c>
      <c r="D2589" s="4" t="str">
        <f>"2021022002"</f>
        <v>2021022002</v>
      </c>
      <c r="E2589" s="4" t="str">
        <f t="shared" ref="E2589:E2603" si="323">"20"</f>
        <v>20</v>
      </c>
      <c r="F2589" s="4" t="str">
        <f>"02"</f>
        <v>02</v>
      </c>
      <c r="G2589" s="4" t="s">
        <v>27</v>
      </c>
      <c r="H2589" s="5">
        <v>60.15</v>
      </c>
      <c r="I2589" s="4"/>
      <c r="J2589" s="4">
        <f>SUMPRODUCT(--((A2589=$A$3:$A$2785)*$H$3:$H$2785&gt;H2589))+1</f>
        <v>2</v>
      </c>
    </row>
    <row r="2590" s="1" customFormat="true" customHeight="true" spans="1:10">
      <c r="A2590" s="4" t="str">
        <f t="shared" si="322"/>
        <v>035</v>
      </c>
      <c r="B2590" s="4" t="s">
        <v>47</v>
      </c>
      <c r="C2590" s="4" t="str">
        <f>"汤海帆"</f>
        <v>汤海帆</v>
      </c>
      <c r="D2590" s="4" t="str">
        <f>"2021021929"</f>
        <v>2021021929</v>
      </c>
      <c r="E2590" s="4" t="str">
        <f>"19"</f>
        <v>19</v>
      </c>
      <c r="F2590" s="4" t="str">
        <f>"29"</f>
        <v>29</v>
      </c>
      <c r="G2590" s="4" t="s">
        <v>27</v>
      </c>
      <c r="H2590" s="5">
        <v>0</v>
      </c>
      <c r="I2590" s="6" t="s">
        <v>13</v>
      </c>
      <c r="J2590" s="4">
        <f>SUMPRODUCT(--((A2590=$A$3:$A$2785)*$H$3:$H$2785&gt;H2590))+1</f>
        <v>3</v>
      </c>
    </row>
    <row r="2591" s="1" customFormat="true" customHeight="true" spans="1:10">
      <c r="A2591" s="4" t="str">
        <f t="shared" si="322"/>
        <v>035</v>
      </c>
      <c r="B2591" s="4" t="s">
        <v>47</v>
      </c>
      <c r="C2591" s="4" t="str">
        <f>"魏超"</f>
        <v>魏超</v>
      </c>
      <c r="D2591" s="4" t="str">
        <f>"2021022001"</f>
        <v>2021022001</v>
      </c>
      <c r="E2591" s="4" t="str">
        <f t="shared" si="323"/>
        <v>20</v>
      </c>
      <c r="F2591" s="4" t="str">
        <f>"01"</f>
        <v>01</v>
      </c>
      <c r="G2591" s="4" t="s">
        <v>27</v>
      </c>
      <c r="H2591" s="5">
        <v>0</v>
      </c>
      <c r="I2591" s="6" t="s">
        <v>13</v>
      </c>
      <c r="J2591" s="4">
        <f>SUMPRODUCT(--((A2591=$A$3:$A$2785)*$H$3:$H$2785&gt;H2591))+1</f>
        <v>3</v>
      </c>
    </row>
    <row r="2592" s="1" customFormat="true" customHeight="true" spans="1:10">
      <c r="A2592" s="4" t="str">
        <f t="shared" si="322"/>
        <v>035</v>
      </c>
      <c r="B2592" s="4" t="s">
        <v>47</v>
      </c>
      <c r="C2592" s="4" t="str">
        <f>"宋伟"</f>
        <v>宋伟</v>
      </c>
      <c r="D2592" s="4" t="str">
        <f>"2021022003"</f>
        <v>2021022003</v>
      </c>
      <c r="E2592" s="4" t="str">
        <f t="shared" si="323"/>
        <v>20</v>
      </c>
      <c r="F2592" s="4" t="str">
        <f>"03"</f>
        <v>03</v>
      </c>
      <c r="G2592" s="4" t="s">
        <v>27</v>
      </c>
      <c r="H2592" s="5">
        <v>0</v>
      </c>
      <c r="I2592" s="6" t="s">
        <v>13</v>
      </c>
      <c r="J2592" s="4">
        <f>SUMPRODUCT(--((A2592=$A$3:$A$2785)*$H$3:$H$2785&gt;H2592))+1</f>
        <v>3</v>
      </c>
    </row>
    <row r="2593" s="1" customFormat="true" customHeight="true" spans="1:10">
      <c r="A2593" s="4" t="str">
        <f t="shared" ref="A2593:A2603" si="324">"036"</f>
        <v>036</v>
      </c>
      <c r="B2593" s="4" t="s">
        <v>48</v>
      </c>
      <c r="C2593" s="4" t="str">
        <f>"向琼琼"</f>
        <v>向琼琼</v>
      </c>
      <c r="D2593" s="4" t="str">
        <f>"2021022010"</f>
        <v>2021022010</v>
      </c>
      <c r="E2593" s="4" t="str">
        <f t="shared" si="323"/>
        <v>20</v>
      </c>
      <c r="F2593" s="4" t="str">
        <f>"10"</f>
        <v>10</v>
      </c>
      <c r="G2593" s="4" t="s">
        <v>27</v>
      </c>
      <c r="H2593" s="5">
        <v>68.75</v>
      </c>
      <c r="I2593" s="4"/>
      <c r="J2593" s="4">
        <f>SUMPRODUCT(--((A2593=$A$3:$A$2785)*$H$3:$H$2785&gt;H2593))+1</f>
        <v>1</v>
      </c>
    </row>
    <row r="2594" s="1" customFormat="true" customHeight="true" spans="1:10">
      <c r="A2594" s="4" t="str">
        <f t="shared" si="324"/>
        <v>036</v>
      </c>
      <c r="B2594" s="4" t="s">
        <v>48</v>
      </c>
      <c r="C2594" s="4" t="str">
        <f>"石清华"</f>
        <v>石清华</v>
      </c>
      <c r="D2594" s="4" t="str">
        <f>"2021022006"</f>
        <v>2021022006</v>
      </c>
      <c r="E2594" s="4" t="str">
        <f t="shared" si="323"/>
        <v>20</v>
      </c>
      <c r="F2594" s="4" t="str">
        <f>"06"</f>
        <v>06</v>
      </c>
      <c r="G2594" s="4" t="s">
        <v>27</v>
      </c>
      <c r="H2594" s="5">
        <v>67.55</v>
      </c>
      <c r="I2594" s="4"/>
      <c r="J2594" s="4">
        <f>SUMPRODUCT(--((A2594=$A$3:$A$2785)*$H$3:$H$2785&gt;H2594))+1</f>
        <v>2</v>
      </c>
    </row>
    <row r="2595" s="1" customFormat="true" customHeight="true" spans="1:10">
      <c r="A2595" s="4" t="str">
        <f t="shared" si="324"/>
        <v>036</v>
      </c>
      <c r="B2595" s="4" t="s">
        <v>48</v>
      </c>
      <c r="C2595" s="4" t="str">
        <f>"周蕾蕾"</f>
        <v>周蕾蕾</v>
      </c>
      <c r="D2595" s="4" t="str">
        <f>"2021022014"</f>
        <v>2021022014</v>
      </c>
      <c r="E2595" s="4" t="str">
        <f t="shared" si="323"/>
        <v>20</v>
      </c>
      <c r="F2595" s="4" t="str">
        <f>"14"</f>
        <v>14</v>
      </c>
      <c r="G2595" s="4" t="s">
        <v>27</v>
      </c>
      <c r="H2595" s="5">
        <v>67.15</v>
      </c>
      <c r="I2595" s="4"/>
      <c r="J2595" s="4">
        <f>SUMPRODUCT(--((A2595=$A$3:$A$2785)*$H$3:$H$2785&gt;H2595))+1</f>
        <v>3</v>
      </c>
    </row>
    <row r="2596" s="1" customFormat="true" customHeight="true" spans="1:10">
      <c r="A2596" s="4" t="str">
        <f t="shared" si="324"/>
        <v>036</v>
      </c>
      <c r="B2596" s="4" t="s">
        <v>48</v>
      </c>
      <c r="C2596" s="4" t="str">
        <f>"仇佳源"</f>
        <v>仇佳源</v>
      </c>
      <c r="D2596" s="4" t="str">
        <f>"2021022007"</f>
        <v>2021022007</v>
      </c>
      <c r="E2596" s="4" t="str">
        <f t="shared" si="323"/>
        <v>20</v>
      </c>
      <c r="F2596" s="4" t="str">
        <f>"07"</f>
        <v>07</v>
      </c>
      <c r="G2596" s="4" t="s">
        <v>27</v>
      </c>
      <c r="H2596" s="5">
        <v>60.2</v>
      </c>
      <c r="I2596" s="4"/>
      <c r="J2596" s="4">
        <f>SUMPRODUCT(--((A2596=$A$3:$A$2785)*$H$3:$H$2785&gt;H2596))+1</f>
        <v>4</v>
      </c>
    </row>
    <row r="2597" s="1" customFormat="true" customHeight="true" spans="1:10">
      <c r="A2597" s="4" t="str">
        <f t="shared" si="324"/>
        <v>036</v>
      </c>
      <c r="B2597" s="4" t="s">
        <v>48</v>
      </c>
      <c r="C2597" s="4" t="str">
        <f>"邹雅洁"</f>
        <v>邹雅洁</v>
      </c>
      <c r="D2597" s="4" t="str">
        <f>"2021022012"</f>
        <v>2021022012</v>
      </c>
      <c r="E2597" s="4" t="str">
        <f t="shared" si="323"/>
        <v>20</v>
      </c>
      <c r="F2597" s="4" t="str">
        <f>"12"</f>
        <v>12</v>
      </c>
      <c r="G2597" s="4" t="s">
        <v>27</v>
      </c>
      <c r="H2597" s="5">
        <v>59.15</v>
      </c>
      <c r="I2597" s="4"/>
      <c r="J2597" s="4">
        <f>SUMPRODUCT(--((A2597=$A$3:$A$2785)*$H$3:$H$2785&gt;H2597))+1</f>
        <v>5</v>
      </c>
    </row>
    <row r="2598" s="1" customFormat="true" customHeight="true" spans="1:10">
      <c r="A2598" s="4" t="str">
        <f t="shared" si="324"/>
        <v>036</v>
      </c>
      <c r="B2598" s="4" t="s">
        <v>48</v>
      </c>
      <c r="C2598" s="4" t="str">
        <f>"李卓妍"</f>
        <v>李卓妍</v>
      </c>
      <c r="D2598" s="4" t="str">
        <f>"2021022013"</f>
        <v>2021022013</v>
      </c>
      <c r="E2598" s="4" t="str">
        <f t="shared" si="323"/>
        <v>20</v>
      </c>
      <c r="F2598" s="4" t="str">
        <f>"13"</f>
        <v>13</v>
      </c>
      <c r="G2598" s="4" t="s">
        <v>27</v>
      </c>
      <c r="H2598" s="5">
        <v>56.8</v>
      </c>
      <c r="I2598" s="4"/>
      <c r="J2598" s="4">
        <f>SUMPRODUCT(--((A2598=$A$3:$A$2785)*$H$3:$H$2785&gt;H2598))+1</f>
        <v>6</v>
      </c>
    </row>
    <row r="2599" s="1" customFormat="true" customHeight="true" spans="1:10">
      <c r="A2599" s="4" t="str">
        <f t="shared" si="324"/>
        <v>036</v>
      </c>
      <c r="B2599" s="4" t="s">
        <v>48</v>
      </c>
      <c r="C2599" s="4" t="str">
        <f>"杨芷芳琳 "</f>
        <v>杨芷芳琳 </v>
      </c>
      <c r="D2599" s="4" t="str">
        <f>"2021022004"</f>
        <v>2021022004</v>
      </c>
      <c r="E2599" s="4" t="str">
        <f t="shared" si="323"/>
        <v>20</v>
      </c>
      <c r="F2599" s="4" t="str">
        <f>"04"</f>
        <v>04</v>
      </c>
      <c r="G2599" s="4" t="s">
        <v>27</v>
      </c>
      <c r="H2599" s="5">
        <v>0</v>
      </c>
      <c r="I2599" s="6" t="s">
        <v>13</v>
      </c>
      <c r="J2599" s="4">
        <f>SUMPRODUCT(--((A2599=$A$3:$A$2785)*$H$3:$H$2785&gt;H2599))+1</f>
        <v>7</v>
      </c>
    </row>
    <row r="2600" s="1" customFormat="true" customHeight="true" spans="1:10">
      <c r="A2600" s="4" t="str">
        <f t="shared" si="324"/>
        <v>036</v>
      </c>
      <c r="B2600" s="4" t="s">
        <v>48</v>
      </c>
      <c r="C2600" s="4" t="str">
        <f>"沈桦林"</f>
        <v>沈桦林</v>
      </c>
      <c r="D2600" s="4" t="str">
        <f>"2021022005"</f>
        <v>2021022005</v>
      </c>
      <c r="E2600" s="4" t="str">
        <f t="shared" si="323"/>
        <v>20</v>
      </c>
      <c r="F2600" s="4" t="str">
        <f>"05"</f>
        <v>05</v>
      </c>
      <c r="G2600" s="4" t="s">
        <v>27</v>
      </c>
      <c r="H2600" s="5">
        <v>0</v>
      </c>
      <c r="I2600" s="6" t="s">
        <v>13</v>
      </c>
      <c r="J2600" s="4">
        <f>SUMPRODUCT(--((A2600=$A$3:$A$2785)*$H$3:$H$2785&gt;H2600))+1</f>
        <v>7</v>
      </c>
    </row>
    <row r="2601" s="1" customFormat="true" customHeight="true" spans="1:10">
      <c r="A2601" s="4" t="str">
        <f t="shared" si="324"/>
        <v>036</v>
      </c>
      <c r="B2601" s="4" t="s">
        <v>48</v>
      </c>
      <c r="C2601" s="4" t="str">
        <f>"滕菲"</f>
        <v>滕菲</v>
      </c>
      <c r="D2601" s="4" t="str">
        <f>"2021022008"</f>
        <v>2021022008</v>
      </c>
      <c r="E2601" s="4" t="str">
        <f t="shared" si="323"/>
        <v>20</v>
      </c>
      <c r="F2601" s="4" t="str">
        <f>"08"</f>
        <v>08</v>
      </c>
      <c r="G2601" s="4" t="s">
        <v>27</v>
      </c>
      <c r="H2601" s="5">
        <v>0</v>
      </c>
      <c r="I2601" s="6" t="s">
        <v>13</v>
      </c>
      <c r="J2601" s="4">
        <f>SUMPRODUCT(--((A2601=$A$3:$A$2785)*$H$3:$H$2785&gt;H2601))+1</f>
        <v>7</v>
      </c>
    </row>
    <row r="2602" s="1" customFormat="true" customHeight="true" spans="1:10">
      <c r="A2602" s="4" t="str">
        <f t="shared" si="324"/>
        <v>036</v>
      </c>
      <c r="B2602" s="4" t="s">
        <v>48</v>
      </c>
      <c r="C2602" s="4" t="str">
        <f>"石亿红"</f>
        <v>石亿红</v>
      </c>
      <c r="D2602" s="4" t="str">
        <f>"2021022009"</f>
        <v>2021022009</v>
      </c>
      <c r="E2602" s="4" t="str">
        <f t="shared" si="323"/>
        <v>20</v>
      </c>
      <c r="F2602" s="4" t="str">
        <f>"09"</f>
        <v>09</v>
      </c>
      <c r="G2602" s="4" t="s">
        <v>27</v>
      </c>
      <c r="H2602" s="5">
        <v>0</v>
      </c>
      <c r="I2602" s="6" t="s">
        <v>13</v>
      </c>
      <c r="J2602" s="4">
        <f>SUMPRODUCT(--((A2602=$A$3:$A$2785)*$H$3:$H$2785&gt;H2602))+1</f>
        <v>7</v>
      </c>
    </row>
    <row r="2603" s="1" customFormat="true" customHeight="true" spans="1:10">
      <c r="A2603" s="4" t="str">
        <f t="shared" si="324"/>
        <v>036</v>
      </c>
      <c r="B2603" s="4" t="s">
        <v>48</v>
      </c>
      <c r="C2603" s="4" t="str">
        <f>"陈尚洁"</f>
        <v>陈尚洁</v>
      </c>
      <c r="D2603" s="4" t="str">
        <f>"2021022011"</f>
        <v>2021022011</v>
      </c>
      <c r="E2603" s="4" t="str">
        <f t="shared" si="323"/>
        <v>20</v>
      </c>
      <c r="F2603" s="4" t="str">
        <f>"11"</f>
        <v>11</v>
      </c>
      <c r="G2603" s="4" t="s">
        <v>27</v>
      </c>
      <c r="H2603" s="5">
        <v>0</v>
      </c>
      <c r="I2603" s="6" t="s">
        <v>13</v>
      </c>
      <c r="J2603" s="4">
        <f>SUMPRODUCT(--((A2603=$A$3:$A$2785)*$H$3:$H$2785&gt;H2603))+1</f>
        <v>7</v>
      </c>
    </row>
    <row r="2604" s="1" customFormat="true" customHeight="true" spans="1:10">
      <c r="A2604" s="4" t="str">
        <f t="shared" ref="A2604:A2667" si="325">"037"</f>
        <v>037</v>
      </c>
      <c r="B2604" s="4" t="s">
        <v>49</v>
      </c>
      <c r="C2604" s="4" t="str">
        <f>"夏欢"</f>
        <v>夏欢</v>
      </c>
      <c r="D2604" s="4" t="str">
        <f>"2021022315"</f>
        <v>2021022315</v>
      </c>
      <c r="E2604" s="4" t="str">
        <f>"23"</f>
        <v>23</v>
      </c>
      <c r="F2604" s="4" t="str">
        <f>"15"</f>
        <v>15</v>
      </c>
      <c r="G2604" s="4" t="s">
        <v>27</v>
      </c>
      <c r="H2604" s="5">
        <v>77.8</v>
      </c>
      <c r="I2604" s="4"/>
      <c r="J2604" s="4">
        <f>SUMPRODUCT(--((A2604=$A$3:$A$2785)*$H$3:$H$2785&gt;H2604))+1</f>
        <v>1</v>
      </c>
    </row>
    <row r="2605" s="1" customFormat="true" customHeight="true" spans="1:10">
      <c r="A2605" s="4" t="str">
        <f t="shared" si="325"/>
        <v>037</v>
      </c>
      <c r="B2605" s="4" t="s">
        <v>49</v>
      </c>
      <c r="C2605" s="4" t="str">
        <f>"武玲慧"</f>
        <v>武玲慧</v>
      </c>
      <c r="D2605" s="4" t="str">
        <f>"2021022209"</f>
        <v>2021022209</v>
      </c>
      <c r="E2605" s="4" t="str">
        <f t="shared" ref="E2605:E2607" si="326">"22"</f>
        <v>22</v>
      </c>
      <c r="F2605" s="4" t="str">
        <f>"09"</f>
        <v>09</v>
      </c>
      <c r="G2605" s="4" t="s">
        <v>27</v>
      </c>
      <c r="H2605" s="5">
        <v>77.7</v>
      </c>
      <c r="I2605" s="4"/>
      <c r="J2605" s="4">
        <f>SUMPRODUCT(--((A2605=$A$3:$A$2785)*$H$3:$H$2785&gt;H2605))+1</f>
        <v>2</v>
      </c>
    </row>
    <row r="2606" s="1" customFormat="true" customHeight="true" spans="1:10">
      <c r="A2606" s="4" t="str">
        <f t="shared" si="325"/>
        <v>037</v>
      </c>
      <c r="B2606" s="4" t="s">
        <v>49</v>
      </c>
      <c r="C2606" s="4" t="str">
        <f>"易路遥"</f>
        <v>易路遥</v>
      </c>
      <c r="D2606" s="4" t="str">
        <f>"2021022221"</f>
        <v>2021022221</v>
      </c>
      <c r="E2606" s="4" t="str">
        <f t="shared" si="326"/>
        <v>22</v>
      </c>
      <c r="F2606" s="4" t="str">
        <f>"21"</f>
        <v>21</v>
      </c>
      <c r="G2606" s="4" t="s">
        <v>27</v>
      </c>
      <c r="H2606" s="5">
        <v>77.4</v>
      </c>
      <c r="I2606" s="4"/>
      <c r="J2606" s="4">
        <f>SUMPRODUCT(--((A2606=$A$3:$A$2785)*$H$3:$H$2785&gt;H2606))+1</f>
        <v>3</v>
      </c>
    </row>
    <row r="2607" s="1" customFormat="true" customHeight="true" spans="1:10">
      <c r="A2607" s="4" t="str">
        <f t="shared" si="325"/>
        <v>037</v>
      </c>
      <c r="B2607" s="4" t="s">
        <v>49</v>
      </c>
      <c r="C2607" s="4" t="str">
        <f>"刘阿敏"</f>
        <v>刘阿敏</v>
      </c>
      <c r="D2607" s="4" t="str">
        <f>"2021022205"</f>
        <v>2021022205</v>
      </c>
      <c r="E2607" s="4" t="str">
        <f t="shared" si="326"/>
        <v>22</v>
      </c>
      <c r="F2607" s="4" t="str">
        <f>"05"</f>
        <v>05</v>
      </c>
      <c r="G2607" s="4" t="s">
        <v>27</v>
      </c>
      <c r="H2607" s="5">
        <v>77.25</v>
      </c>
      <c r="I2607" s="4"/>
      <c r="J2607" s="4">
        <f>SUMPRODUCT(--((A2607=$A$3:$A$2785)*$H$3:$H$2785&gt;H2607))+1</f>
        <v>4</v>
      </c>
    </row>
    <row r="2608" s="1" customFormat="true" customHeight="true" spans="1:10">
      <c r="A2608" s="4" t="str">
        <f t="shared" si="325"/>
        <v>037</v>
      </c>
      <c r="B2608" s="4" t="s">
        <v>49</v>
      </c>
      <c r="C2608" s="4" t="str">
        <f>"邓艳芳"</f>
        <v>邓艳芳</v>
      </c>
      <c r="D2608" s="4" t="str">
        <f>"2021022103"</f>
        <v>2021022103</v>
      </c>
      <c r="E2608" s="4" t="str">
        <f t="shared" ref="E2608:E2612" si="327">"21"</f>
        <v>21</v>
      </c>
      <c r="F2608" s="4" t="str">
        <f>"03"</f>
        <v>03</v>
      </c>
      <c r="G2608" s="4" t="s">
        <v>27</v>
      </c>
      <c r="H2608" s="5">
        <v>76.9</v>
      </c>
      <c r="I2608" s="4"/>
      <c r="J2608" s="4">
        <f>SUMPRODUCT(--((A2608=$A$3:$A$2785)*$H$3:$H$2785&gt;H2608))+1</f>
        <v>5</v>
      </c>
    </row>
    <row r="2609" s="1" customFormat="true" customHeight="true" spans="1:10">
      <c r="A2609" s="4" t="str">
        <f t="shared" si="325"/>
        <v>037</v>
      </c>
      <c r="B2609" s="4" t="s">
        <v>49</v>
      </c>
      <c r="C2609" s="4" t="str">
        <f>"舒帆"</f>
        <v>舒帆</v>
      </c>
      <c r="D2609" s="4" t="str">
        <f>"2021022128"</f>
        <v>2021022128</v>
      </c>
      <c r="E2609" s="4" t="str">
        <f t="shared" si="327"/>
        <v>21</v>
      </c>
      <c r="F2609" s="4" t="str">
        <f>"28"</f>
        <v>28</v>
      </c>
      <c r="G2609" s="4" t="s">
        <v>27</v>
      </c>
      <c r="H2609" s="5">
        <v>76.9</v>
      </c>
      <c r="I2609" s="4"/>
      <c r="J2609" s="4">
        <f>SUMPRODUCT(--((A2609=$A$3:$A$2785)*$H$3:$H$2785&gt;H2609))+1</f>
        <v>5</v>
      </c>
    </row>
    <row r="2610" s="1" customFormat="true" customHeight="true" spans="1:10">
      <c r="A2610" s="4" t="str">
        <f t="shared" si="325"/>
        <v>037</v>
      </c>
      <c r="B2610" s="4" t="s">
        <v>49</v>
      </c>
      <c r="C2610" s="4" t="str">
        <f>"孙雅兰"</f>
        <v>孙雅兰</v>
      </c>
      <c r="D2610" s="4" t="str">
        <f>"2021022416"</f>
        <v>2021022416</v>
      </c>
      <c r="E2610" s="4" t="str">
        <f>"24"</f>
        <v>24</v>
      </c>
      <c r="F2610" s="4" t="str">
        <f>"16"</f>
        <v>16</v>
      </c>
      <c r="G2610" s="4" t="s">
        <v>27</v>
      </c>
      <c r="H2610" s="5">
        <v>75.9</v>
      </c>
      <c r="I2610" s="4"/>
      <c r="J2610" s="4">
        <f>SUMPRODUCT(--((A2610=$A$3:$A$2785)*$H$3:$H$2785&gt;H2610))+1</f>
        <v>7</v>
      </c>
    </row>
    <row r="2611" s="1" customFormat="true" customHeight="true" spans="1:10">
      <c r="A2611" s="4" t="str">
        <f t="shared" si="325"/>
        <v>037</v>
      </c>
      <c r="B2611" s="4" t="s">
        <v>49</v>
      </c>
      <c r="C2611" s="4" t="str">
        <f>"杨冬芝"</f>
        <v>杨冬芝</v>
      </c>
      <c r="D2611" s="4" t="str">
        <f>"2021022212"</f>
        <v>2021022212</v>
      </c>
      <c r="E2611" s="4" t="str">
        <f>"22"</f>
        <v>22</v>
      </c>
      <c r="F2611" s="4" t="str">
        <f>"12"</f>
        <v>12</v>
      </c>
      <c r="G2611" s="4" t="s">
        <v>27</v>
      </c>
      <c r="H2611" s="5">
        <v>74.85</v>
      </c>
      <c r="I2611" s="4"/>
      <c r="J2611" s="4">
        <f>SUMPRODUCT(--((A2611=$A$3:$A$2785)*$H$3:$H$2785&gt;H2611))+1</f>
        <v>8</v>
      </c>
    </row>
    <row r="2612" s="1" customFormat="true" customHeight="true" spans="1:10">
      <c r="A2612" s="4" t="str">
        <f t="shared" si="325"/>
        <v>037</v>
      </c>
      <c r="B2612" s="4" t="s">
        <v>49</v>
      </c>
      <c r="C2612" s="4" t="str">
        <f>"石玉青"</f>
        <v>石玉青</v>
      </c>
      <c r="D2612" s="4" t="str">
        <f>"2021022121"</f>
        <v>2021022121</v>
      </c>
      <c r="E2612" s="4" t="str">
        <f t="shared" si="327"/>
        <v>21</v>
      </c>
      <c r="F2612" s="4" t="str">
        <f>"21"</f>
        <v>21</v>
      </c>
      <c r="G2612" s="4" t="s">
        <v>27</v>
      </c>
      <c r="H2612" s="5">
        <v>74.3</v>
      </c>
      <c r="I2612" s="4"/>
      <c r="J2612" s="4">
        <f>SUMPRODUCT(--((A2612=$A$3:$A$2785)*$H$3:$H$2785&gt;H2612))+1</f>
        <v>9</v>
      </c>
    </row>
    <row r="2613" s="1" customFormat="true" customHeight="true" spans="1:10">
      <c r="A2613" s="4" t="str">
        <f t="shared" si="325"/>
        <v>037</v>
      </c>
      <c r="B2613" s="4" t="s">
        <v>49</v>
      </c>
      <c r="C2613" s="4" t="str">
        <f>"王梦祝"</f>
        <v>王梦祝</v>
      </c>
      <c r="D2613" s="4" t="str">
        <f>"2021022329"</f>
        <v>2021022329</v>
      </c>
      <c r="E2613" s="4" t="str">
        <f t="shared" ref="E2613:E2615" si="328">"23"</f>
        <v>23</v>
      </c>
      <c r="F2613" s="4" t="str">
        <f>"29"</f>
        <v>29</v>
      </c>
      <c r="G2613" s="4" t="s">
        <v>27</v>
      </c>
      <c r="H2613" s="5">
        <v>74.3</v>
      </c>
      <c r="I2613" s="4"/>
      <c r="J2613" s="4">
        <f>SUMPRODUCT(--((A2613=$A$3:$A$2785)*$H$3:$H$2785&gt;H2613))+1</f>
        <v>9</v>
      </c>
    </row>
    <row r="2614" s="1" customFormat="true" customHeight="true" spans="1:10">
      <c r="A2614" s="4" t="str">
        <f t="shared" si="325"/>
        <v>037</v>
      </c>
      <c r="B2614" s="4" t="s">
        <v>49</v>
      </c>
      <c r="C2614" s="4" t="str">
        <f>"荆月"</f>
        <v>荆月</v>
      </c>
      <c r="D2614" s="4" t="str">
        <f>"2021022309"</f>
        <v>2021022309</v>
      </c>
      <c r="E2614" s="4" t="str">
        <f t="shared" si="328"/>
        <v>23</v>
      </c>
      <c r="F2614" s="4" t="str">
        <f>"09"</f>
        <v>09</v>
      </c>
      <c r="G2614" s="4" t="s">
        <v>27</v>
      </c>
      <c r="H2614" s="5">
        <v>73.8</v>
      </c>
      <c r="I2614" s="4"/>
      <c r="J2614" s="4">
        <f>SUMPRODUCT(--((A2614=$A$3:$A$2785)*$H$3:$H$2785&gt;H2614))+1</f>
        <v>11</v>
      </c>
    </row>
    <row r="2615" s="1" customFormat="true" customHeight="true" spans="1:10">
      <c r="A2615" s="4" t="str">
        <f t="shared" si="325"/>
        <v>037</v>
      </c>
      <c r="B2615" s="4" t="s">
        <v>49</v>
      </c>
      <c r="C2615" s="4" t="str">
        <f>"陈玫君"</f>
        <v>陈玫君</v>
      </c>
      <c r="D2615" s="4" t="str">
        <f>"2021022304"</f>
        <v>2021022304</v>
      </c>
      <c r="E2615" s="4" t="str">
        <f t="shared" si="328"/>
        <v>23</v>
      </c>
      <c r="F2615" s="4" t="str">
        <f>"04"</f>
        <v>04</v>
      </c>
      <c r="G2615" s="4" t="s">
        <v>27</v>
      </c>
      <c r="H2615" s="5">
        <v>73.65</v>
      </c>
      <c r="I2615" s="4"/>
      <c r="J2615" s="4">
        <f>SUMPRODUCT(--((A2615=$A$3:$A$2785)*$H$3:$H$2785&gt;H2615))+1</f>
        <v>12</v>
      </c>
    </row>
    <row r="2616" s="1" customFormat="true" customHeight="true" spans="1:10">
      <c r="A2616" s="4" t="str">
        <f t="shared" si="325"/>
        <v>037</v>
      </c>
      <c r="B2616" s="4" t="s">
        <v>49</v>
      </c>
      <c r="C2616" s="4" t="str">
        <f>"刘美君"</f>
        <v>刘美君</v>
      </c>
      <c r="D2616" s="4" t="str">
        <f>"2021022512"</f>
        <v>2021022512</v>
      </c>
      <c r="E2616" s="4" t="str">
        <f>"25"</f>
        <v>25</v>
      </c>
      <c r="F2616" s="4" t="str">
        <f>"12"</f>
        <v>12</v>
      </c>
      <c r="G2616" s="4" t="s">
        <v>27</v>
      </c>
      <c r="H2616" s="5">
        <v>73.65</v>
      </c>
      <c r="I2616" s="4"/>
      <c r="J2616" s="4">
        <f>SUMPRODUCT(--((A2616=$A$3:$A$2785)*$H$3:$H$2785&gt;H2616))+1</f>
        <v>12</v>
      </c>
    </row>
    <row r="2617" s="1" customFormat="true" customHeight="true" spans="1:10">
      <c r="A2617" s="4" t="str">
        <f t="shared" si="325"/>
        <v>037</v>
      </c>
      <c r="B2617" s="4" t="s">
        <v>49</v>
      </c>
      <c r="C2617" s="4" t="str">
        <f>"谭姗"</f>
        <v>谭姗</v>
      </c>
      <c r="D2617" s="4" t="str">
        <f>"2021022225"</f>
        <v>2021022225</v>
      </c>
      <c r="E2617" s="4" t="str">
        <f t="shared" ref="E2617:E2620" si="329">"22"</f>
        <v>22</v>
      </c>
      <c r="F2617" s="4" t="str">
        <f>"25"</f>
        <v>25</v>
      </c>
      <c r="G2617" s="4" t="s">
        <v>27</v>
      </c>
      <c r="H2617" s="5">
        <v>72.9</v>
      </c>
      <c r="I2617" s="4"/>
      <c r="J2617" s="4">
        <f>SUMPRODUCT(--((A2617=$A$3:$A$2785)*$H$3:$H$2785&gt;H2617))+1</f>
        <v>14</v>
      </c>
    </row>
    <row r="2618" s="1" customFormat="true" customHeight="true" spans="1:10">
      <c r="A2618" s="4" t="str">
        <f t="shared" si="325"/>
        <v>037</v>
      </c>
      <c r="B2618" s="4" t="s">
        <v>49</v>
      </c>
      <c r="C2618" s="4" t="str">
        <f>"黄梅"</f>
        <v>黄梅</v>
      </c>
      <c r="D2618" s="4" t="str">
        <f>"2021022104"</f>
        <v>2021022104</v>
      </c>
      <c r="E2618" s="4" t="str">
        <f>"21"</f>
        <v>21</v>
      </c>
      <c r="F2618" s="4" t="str">
        <f>"04"</f>
        <v>04</v>
      </c>
      <c r="G2618" s="4" t="s">
        <v>27</v>
      </c>
      <c r="H2618" s="5">
        <v>72.85</v>
      </c>
      <c r="I2618" s="4"/>
      <c r="J2618" s="4">
        <f>SUMPRODUCT(--((A2618=$A$3:$A$2785)*$H$3:$H$2785&gt;H2618))+1</f>
        <v>15</v>
      </c>
    </row>
    <row r="2619" s="1" customFormat="true" customHeight="true" spans="1:10">
      <c r="A2619" s="4" t="str">
        <f t="shared" si="325"/>
        <v>037</v>
      </c>
      <c r="B2619" s="4" t="s">
        <v>49</v>
      </c>
      <c r="C2619" s="4" t="str">
        <f>"张珊钰"</f>
        <v>张珊钰</v>
      </c>
      <c r="D2619" s="4" t="str">
        <f>"2021022203"</f>
        <v>2021022203</v>
      </c>
      <c r="E2619" s="4" t="str">
        <f t="shared" si="329"/>
        <v>22</v>
      </c>
      <c r="F2619" s="4" t="str">
        <f>"03"</f>
        <v>03</v>
      </c>
      <c r="G2619" s="4" t="s">
        <v>27</v>
      </c>
      <c r="H2619" s="5">
        <v>71.85</v>
      </c>
      <c r="I2619" s="4"/>
      <c r="J2619" s="4">
        <f>SUMPRODUCT(--((A2619=$A$3:$A$2785)*$H$3:$H$2785&gt;H2619))+1</f>
        <v>16</v>
      </c>
    </row>
    <row r="2620" s="1" customFormat="true" ht="50.25" customHeight="true" spans="1:10">
      <c r="A2620" s="4" t="str">
        <f t="shared" si="325"/>
        <v>037</v>
      </c>
      <c r="B2620" s="4" t="s">
        <v>49</v>
      </c>
      <c r="C2620" s="4" t="str">
        <f>"张兰"</f>
        <v>张兰</v>
      </c>
      <c r="D2620" s="4" t="str">
        <f>"2021022216"</f>
        <v>2021022216</v>
      </c>
      <c r="E2620" s="4" t="str">
        <f t="shared" si="329"/>
        <v>22</v>
      </c>
      <c r="F2620" s="4" t="str">
        <f>"16"</f>
        <v>16</v>
      </c>
      <c r="G2620" s="4" t="s">
        <v>27</v>
      </c>
      <c r="H2620" s="5">
        <v>71.6</v>
      </c>
      <c r="I2620" s="7"/>
      <c r="J2620" s="4">
        <f>SUMPRODUCT(--((A2620=$A$3:$A$2785)*$H$3:$H$2785&gt;H2620))+1</f>
        <v>17</v>
      </c>
    </row>
    <row r="2621" s="1" customFormat="true" customHeight="true" spans="1:10">
      <c r="A2621" s="4" t="str">
        <f t="shared" si="325"/>
        <v>037</v>
      </c>
      <c r="B2621" s="4" t="s">
        <v>49</v>
      </c>
      <c r="C2621" s="4" t="str">
        <f>"李洋"</f>
        <v>李洋</v>
      </c>
      <c r="D2621" s="4" t="str">
        <f>"2021022425"</f>
        <v>2021022425</v>
      </c>
      <c r="E2621" s="4" t="str">
        <f>"24"</f>
        <v>24</v>
      </c>
      <c r="F2621" s="4" t="str">
        <f>"25"</f>
        <v>25</v>
      </c>
      <c r="G2621" s="4" t="s">
        <v>27</v>
      </c>
      <c r="H2621" s="5">
        <v>71.55</v>
      </c>
      <c r="I2621" s="4"/>
      <c r="J2621" s="4">
        <f>SUMPRODUCT(--((A2621=$A$3:$A$2785)*$H$3:$H$2785&gt;H2621))+1</f>
        <v>18</v>
      </c>
    </row>
    <row r="2622" s="1" customFormat="true" customHeight="true" spans="1:10">
      <c r="A2622" s="4" t="str">
        <f t="shared" si="325"/>
        <v>037</v>
      </c>
      <c r="B2622" s="4" t="s">
        <v>49</v>
      </c>
      <c r="C2622" s="4" t="str">
        <f>"田淑珍"</f>
        <v>田淑珍</v>
      </c>
      <c r="D2622" s="4" t="str">
        <f>"2021022117"</f>
        <v>2021022117</v>
      </c>
      <c r="E2622" s="4" t="str">
        <f>"21"</f>
        <v>21</v>
      </c>
      <c r="F2622" s="4" t="str">
        <f>"17"</f>
        <v>17</v>
      </c>
      <c r="G2622" s="4" t="s">
        <v>27</v>
      </c>
      <c r="H2622" s="5">
        <v>71.3</v>
      </c>
      <c r="I2622" s="4"/>
      <c r="J2622" s="4">
        <f>SUMPRODUCT(--((A2622=$A$3:$A$2785)*$H$3:$H$2785&gt;H2622))+1</f>
        <v>19</v>
      </c>
    </row>
    <row r="2623" s="1" customFormat="true" customHeight="true" spans="1:10">
      <c r="A2623" s="4" t="str">
        <f t="shared" si="325"/>
        <v>037</v>
      </c>
      <c r="B2623" s="4" t="s">
        <v>49</v>
      </c>
      <c r="C2623" s="4" t="str">
        <f>"曾琴"</f>
        <v>曾琴</v>
      </c>
      <c r="D2623" s="4" t="str">
        <f>"2021022330"</f>
        <v>2021022330</v>
      </c>
      <c r="E2623" s="4" t="str">
        <f>"23"</f>
        <v>23</v>
      </c>
      <c r="F2623" s="4" t="str">
        <f>"30"</f>
        <v>30</v>
      </c>
      <c r="G2623" s="4" t="s">
        <v>27</v>
      </c>
      <c r="H2623" s="5">
        <v>71.15</v>
      </c>
      <c r="I2623" s="4"/>
      <c r="J2623" s="4">
        <f>SUMPRODUCT(--((A2623=$A$3:$A$2785)*$H$3:$H$2785&gt;H2623))+1</f>
        <v>20</v>
      </c>
    </row>
    <row r="2624" s="1" customFormat="true" customHeight="true" spans="1:10">
      <c r="A2624" s="4" t="str">
        <f t="shared" si="325"/>
        <v>037</v>
      </c>
      <c r="B2624" s="4" t="s">
        <v>49</v>
      </c>
      <c r="C2624" s="4" t="str">
        <f>"石文娟"</f>
        <v>石文娟</v>
      </c>
      <c r="D2624" s="4" t="str">
        <f>"2021022509"</f>
        <v>2021022509</v>
      </c>
      <c r="E2624" s="4" t="str">
        <f t="shared" ref="E2624:E2628" si="330">"25"</f>
        <v>25</v>
      </c>
      <c r="F2624" s="4" t="str">
        <f>"09"</f>
        <v>09</v>
      </c>
      <c r="G2624" s="4" t="s">
        <v>27</v>
      </c>
      <c r="H2624" s="5">
        <v>70.9</v>
      </c>
      <c r="I2624" s="4"/>
      <c r="J2624" s="4">
        <f>SUMPRODUCT(--((A2624=$A$3:$A$2785)*$H$3:$H$2785&gt;H2624))+1</f>
        <v>21</v>
      </c>
    </row>
    <row r="2625" s="1" customFormat="true" customHeight="true" spans="1:10">
      <c r="A2625" s="4" t="str">
        <f t="shared" si="325"/>
        <v>037</v>
      </c>
      <c r="B2625" s="4" t="s">
        <v>49</v>
      </c>
      <c r="C2625" s="4" t="str">
        <f>"张玲"</f>
        <v>张玲</v>
      </c>
      <c r="D2625" s="4" t="str">
        <f>"2021022105"</f>
        <v>2021022105</v>
      </c>
      <c r="E2625" s="4" t="str">
        <f>"21"</f>
        <v>21</v>
      </c>
      <c r="F2625" s="4" t="str">
        <f>"05"</f>
        <v>05</v>
      </c>
      <c r="G2625" s="4" t="s">
        <v>27</v>
      </c>
      <c r="H2625" s="5">
        <v>70.6</v>
      </c>
      <c r="I2625" s="4"/>
      <c r="J2625" s="4">
        <f>SUMPRODUCT(--((A2625=$A$3:$A$2785)*$H$3:$H$2785&gt;H2625))+1</f>
        <v>22</v>
      </c>
    </row>
    <row r="2626" s="1" customFormat="true" customHeight="true" spans="1:10">
      <c r="A2626" s="4" t="str">
        <f t="shared" si="325"/>
        <v>037</v>
      </c>
      <c r="B2626" s="4" t="s">
        <v>49</v>
      </c>
      <c r="C2626" s="4" t="str">
        <f>"李漫鸿"</f>
        <v>李漫鸿</v>
      </c>
      <c r="D2626" s="4" t="str">
        <f>"2021022017"</f>
        <v>2021022017</v>
      </c>
      <c r="E2626" s="4" t="str">
        <f>"20"</f>
        <v>20</v>
      </c>
      <c r="F2626" s="4" t="str">
        <f>"17"</f>
        <v>17</v>
      </c>
      <c r="G2626" s="4" t="s">
        <v>27</v>
      </c>
      <c r="H2626" s="5">
        <v>70.5</v>
      </c>
      <c r="I2626" s="4"/>
      <c r="J2626" s="4">
        <f>SUMPRODUCT(--((A2626=$A$3:$A$2785)*$H$3:$H$2785&gt;H2626))+1</f>
        <v>23</v>
      </c>
    </row>
    <row r="2627" s="1" customFormat="true" customHeight="true" spans="1:10">
      <c r="A2627" s="4" t="str">
        <f t="shared" si="325"/>
        <v>037</v>
      </c>
      <c r="B2627" s="4" t="s">
        <v>49</v>
      </c>
      <c r="C2627" s="4" t="str">
        <f>"毛妍霏"</f>
        <v>毛妍霏</v>
      </c>
      <c r="D2627" s="4" t="str">
        <f>"2021022501"</f>
        <v>2021022501</v>
      </c>
      <c r="E2627" s="4" t="str">
        <f t="shared" si="330"/>
        <v>25</v>
      </c>
      <c r="F2627" s="4" t="str">
        <f>"01"</f>
        <v>01</v>
      </c>
      <c r="G2627" s="4" t="s">
        <v>27</v>
      </c>
      <c r="H2627" s="5">
        <v>69.95</v>
      </c>
      <c r="I2627" s="4"/>
      <c r="J2627" s="4">
        <f>SUMPRODUCT(--((A2627=$A$3:$A$2785)*$H$3:$H$2785&gt;H2627))+1</f>
        <v>24</v>
      </c>
    </row>
    <row r="2628" s="1" customFormat="true" customHeight="true" spans="1:10">
      <c r="A2628" s="4" t="str">
        <f t="shared" si="325"/>
        <v>037</v>
      </c>
      <c r="B2628" s="4" t="s">
        <v>49</v>
      </c>
      <c r="C2628" s="4" t="str">
        <f>"谢心仪"</f>
        <v>谢心仪</v>
      </c>
      <c r="D2628" s="4" t="str">
        <f>"2021022516"</f>
        <v>2021022516</v>
      </c>
      <c r="E2628" s="4" t="str">
        <f t="shared" si="330"/>
        <v>25</v>
      </c>
      <c r="F2628" s="4" t="str">
        <f>"16"</f>
        <v>16</v>
      </c>
      <c r="G2628" s="4" t="s">
        <v>27</v>
      </c>
      <c r="H2628" s="5">
        <v>69.9</v>
      </c>
      <c r="I2628" s="4"/>
      <c r="J2628" s="4">
        <f>SUMPRODUCT(--((A2628=$A$3:$A$2785)*$H$3:$H$2785&gt;H2628))+1</f>
        <v>25</v>
      </c>
    </row>
    <row r="2629" s="1" customFormat="true" customHeight="true" spans="1:10">
      <c r="A2629" s="4" t="str">
        <f t="shared" si="325"/>
        <v>037</v>
      </c>
      <c r="B2629" s="4" t="s">
        <v>49</v>
      </c>
      <c r="C2629" s="4" t="str">
        <f>"姚丽婷"</f>
        <v>姚丽婷</v>
      </c>
      <c r="D2629" s="4" t="str">
        <f>"2021022314"</f>
        <v>2021022314</v>
      </c>
      <c r="E2629" s="4" t="str">
        <f t="shared" ref="E2629:E2634" si="331">"23"</f>
        <v>23</v>
      </c>
      <c r="F2629" s="4" t="str">
        <f>"14"</f>
        <v>14</v>
      </c>
      <c r="G2629" s="4" t="s">
        <v>27</v>
      </c>
      <c r="H2629" s="5">
        <v>69.4</v>
      </c>
      <c r="I2629" s="4"/>
      <c r="J2629" s="4">
        <f>SUMPRODUCT(--((A2629=$A$3:$A$2785)*$H$3:$H$2785&gt;H2629))+1</f>
        <v>26</v>
      </c>
    </row>
    <row r="2630" s="1" customFormat="true" customHeight="true" spans="1:10">
      <c r="A2630" s="4" t="str">
        <f t="shared" si="325"/>
        <v>037</v>
      </c>
      <c r="B2630" s="4" t="s">
        <v>49</v>
      </c>
      <c r="C2630" s="4" t="str">
        <f>"蒲娩婷"</f>
        <v>蒲娩婷</v>
      </c>
      <c r="D2630" s="4" t="str">
        <f>"2021022021"</f>
        <v>2021022021</v>
      </c>
      <c r="E2630" s="4" t="str">
        <f>"20"</f>
        <v>20</v>
      </c>
      <c r="F2630" s="4" t="str">
        <f>"21"</f>
        <v>21</v>
      </c>
      <c r="G2630" s="4" t="s">
        <v>27</v>
      </c>
      <c r="H2630" s="5">
        <v>68.5</v>
      </c>
      <c r="I2630" s="4"/>
      <c r="J2630" s="4">
        <f>SUMPRODUCT(--((A2630=$A$3:$A$2785)*$H$3:$H$2785&gt;H2630))+1</f>
        <v>27</v>
      </c>
    </row>
    <row r="2631" s="1" customFormat="true" customHeight="true" spans="1:10">
      <c r="A2631" s="4" t="str">
        <f t="shared" si="325"/>
        <v>037</v>
      </c>
      <c r="B2631" s="4" t="s">
        <v>49</v>
      </c>
      <c r="C2631" s="4" t="str">
        <f>"肖婷方"</f>
        <v>肖婷方</v>
      </c>
      <c r="D2631" s="4" t="str">
        <f>"2021022401"</f>
        <v>2021022401</v>
      </c>
      <c r="E2631" s="4" t="str">
        <f t="shared" ref="E2631:E2635" si="332">"24"</f>
        <v>24</v>
      </c>
      <c r="F2631" s="4" t="str">
        <f>"01"</f>
        <v>01</v>
      </c>
      <c r="G2631" s="4" t="s">
        <v>27</v>
      </c>
      <c r="H2631" s="5">
        <v>68.45</v>
      </c>
      <c r="I2631" s="4"/>
      <c r="J2631" s="4">
        <f>SUMPRODUCT(--((A2631=$A$3:$A$2785)*$H$3:$H$2785&gt;H2631))+1</f>
        <v>28</v>
      </c>
    </row>
    <row r="2632" s="1" customFormat="true" customHeight="true" spans="1:10">
      <c r="A2632" s="4" t="str">
        <f t="shared" si="325"/>
        <v>037</v>
      </c>
      <c r="B2632" s="4" t="s">
        <v>49</v>
      </c>
      <c r="C2632" s="4" t="str">
        <f>"张宏"</f>
        <v>张宏</v>
      </c>
      <c r="D2632" s="4" t="str">
        <f>"2021022428"</f>
        <v>2021022428</v>
      </c>
      <c r="E2632" s="4" t="str">
        <f t="shared" si="332"/>
        <v>24</v>
      </c>
      <c r="F2632" s="4" t="str">
        <f>"28"</f>
        <v>28</v>
      </c>
      <c r="G2632" s="4" t="s">
        <v>27</v>
      </c>
      <c r="H2632" s="5">
        <v>68.35</v>
      </c>
      <c r="I2632" s="4"/>
      <c r="J2632" s="4">
        <f>SUMPRODUCT(--((A2632=$A$3:$A$2785)*$H$3:$H$2785&gt;H2632))+1</f>
        <v>29</v>
      </c>
    </row>
    <row r="2633" s="1" customFormat="true" customHeight="true" spans="1:10">
      <c r="A2633" s="4" t="str">
        <f t="shared" si="325"/>
        <v>037</v>
      </c>
      <c r="B2633" s="4" t="s">
        <v>49</v>
      </c>
      <c r="C2633" s="4" t="str">
        <f>"张华"</f>
        <v>张华</v>
      </c>
      <c r="D2633" s="4" t="str">
        <f>"2021022328"</f>
        <v>2021022328</v>
      </c>
      <c r="E2633" s="4" t="str">
        <f t="shared" si="331"/>
        <v>23</v>
      </c>
      <c r="F2633" s="4" t="str">
        <f>"28"</f>
        <v>28</v>
      </c>
      <c r="G2633" s="4" t="s">
        <v>27</v>
      </c>
      <c r="H2633" s="5">
        <v>68.25</v>
      </c>
      <c r="I2633" s="4"/>
      <c r="J2633" s="4">
        <f>SUMPRODUCT(--((A2633=$A$3:$A$2785)*$H$3:$H$2785&gt;H2633))+1</f>
        <v>30</v>
      </c>
    </row>
    <row r="2634" s="1" customFormat="true" customHeight="true" spans="1:10">
      <c r="A2634" s="4" t="str">
        <f t="shared" si="325"/>
        <v>037</v>
      </c>
      <c r="B2634" s="4" t="s">
        <v>49</v>
      </c>
      <c r="C2634" s="4" t="str">
        <f>"孙雯潇"</f>
        <v>孙雯潇</v>
      </c>
      <c r="D2634" s="4" t="str">
        <f>"2021022301"</f>
        <v>2021022301</v>
      </c>
      <c r="E2634" s="4" t="str">
        <f t="shared" si="331"/>
        <v>23</v>
      </c>
      <c r="F2634" s="4" t="str">
        <f>"01"</f>
        <v>01</v>
      </c>
      <c r="G2634" s="4" t="s">
        <v>27</v>
      </c>
      <c r="H2634" s="5">
        <v>68.2</v>
      </c>
      <c r="I2634" s="4"/>
      <c r="J2634" s="4">
        <f>SUMPRODUCT(--((A2634=$A$3:$A$2785)*$H$3:$H$2785&gt;H2634))+1</f>
        <v>31</v>
      </c>
    </row>
    <row r="2635" s="1" customFormat="true" customHeight="true" spans="1:10">
      <c r="A2635" s="4" t="str">
        <f t="shared" si="325"/>
        <v>037</v>
      </c>
      <c r="B2635" s="4" t="s">
        <v>49</v>
      </c>
      <c r="C2635" s="4" t="str">
        <f>"刘群"</f>
        <v>刘群</v>
      </c>
      <c r="D2635" s="4" t="str">
        <f>"2021022404"</f>
        <v>2021022404</v>
      </c>
      <c r="E2635" s="4" t="str">
        <f t="shared" si="332"/>
        <v>24</v>
      </c>
      <c r="F2635" s="4" t="str">
        <f>"04"</f>
        <v>04</v>
      </c>
      <c r="G2635" s="4" t="s">
        <v>27</v>
      </c>
      <c r="H2635" s="5">
        <v>68</v>
      </c>
      <c r="I2635" s="4"/>
      <c r="J2635" s="4">
        <f>SUMPRODUCT(--((A2635=$A$3:$A$2785)*$H$3:$H$2785&gt;H2635))+1</f>
        <v>32</v>
      </c>
    </row>
    <row r="2636" s="1" customFormat="true" customHeight="true" spans="1:10">
      <c r="A2636" s="4" t="str">
        <f t="shared" si="325"/>
        <v>037</v>
      </c>
      <c r="B2636" s="4" t="s">
        <v>49</v>
      </c>
      <c r="C2636" s="4" t="str">
        <f>"刘瑞"</f>
        <v>刘瑞</v>
      </c>
      <c r="D2636" s="4" t="str">
        <f>"2021022219"</f>
        <v>2021022219</v>
      </c>
      <c r="E2636" s="4" t="str">
        <f>"22"</f>
        <v>22</v>
      </c>
      <c r="F2636" s="4" t="str">
        <f>"19"</f>
        <v>19</v>
      </c>
      <c r="G2636" s="4" t="s">
        <v>27</v>
      </c>
      <c r="H2636" s="5">
        <v>67.95</v>
      </c>
      <c r="I2636" s="4"/>
      <c r="J2636" s="4">
        <f>SUMPRODUCT(--((A2636=$A$3:$A$2785)*$H$3:$H$2785&gt;H2636))+1</f>
        <v>33</v>
      </c>
    </row>
    <row r="2637" s="1" customFormat="true" customHeight="true" spans="1:10">
      <c r="A2637" s="4" t="str">
        <f t="shared" si="325"/>
        <v>037</v>
      </c>
      <c r="B2637" s="4" t="s">
        <v>49</v>
      </c>
      <c r="C2637" s="4" t="str">
        <f>"贺霞"</f>
        <v>贺霞</v>
      </c>
      <c r="D2637" s="4" t="str">
        <f>"2021022419"</f>
        <v>2021022419</v>
      </c>
      <c r="E2637" s="4" t="str">
        <f>"24"</f>
        <v>24</v>
      </c>
      <c r="F2637" s="4" t="str">
        <f>"19"</f>
        <v>19</v>
      </c>
      <c r="G2637" s="4" t="s">
        <v>27</v>
      </c>
      <c r="H2637" s="5">
        <v>67.95</v>
      </c>
      <c r="I2637" s="4"/>
      <c r="J2637" s="4">
        <f>SUMPRODUCT(--((A2637=$A$3:$A$2785)*$H$3:$H$2785&gt;H2637))+1</f>
        <v>33</v>
      </c>
    </row>
    <row r="2638" s="1" customFormat="true" customHeight="true" spans="1:10">
      <c r="A2638" s="4" t="str">
        <f t="shared" si="325"/>
        <v>037</v>
      </c>
      <c r="B2638" s="4" t="s">
        <v>49</v>
      </c>
      <c r="C2638" s="4" t="str">
        <f>"吴婧婧"</f>
        <v>吴婧婧</v>
      </c>
      <c r="D2638" s="4" t="str">
        <f>"2021022106"</f>
        <v>2021022106</v>
      </c>
      <c r="E2638" s="4" t="str">
        <f t="shared" ref="E2638:E2642" si="333">"21"</f>
        <v>21</v>
      </c>
      <c r="F2638" s="4" t="str">
        <f>"06"</f>
        <v>06</v>
      </c>
      <c r="G2638" s="4" t="s">
        <v>27</v>
      </c>
      <c r="H2638" s="5">
        <v>67.8</v>
      </c>
      <c r="I2638" s="4"/>
      <c r="J2638" s="4">
        <f>SUMPRODUCT(--((A2638=$A$3:$A$2785)*$H$3:$H$2785&gt;H2638))+1</f>
        <v>35</v>
      </c>
    </row>
    <row r="2639" s="1" customFormat="true" customHeight="true" spans="1:10">
      <c r="A2639" s="4" t="str">
        <f t="shared" si="325"/>
        <v>037</v>
      </c>
      <c r="B2639" s="4" t="s">
        <v>49</v>
      </c>
      <c r="C2639" s="4" t="str">
        <f>"张景媚"</f>
        <v>张景媚</v>
      </c>
      <c r="D2639" s="4" t="str">
        <f>"2021022118"</f>
        <v>2021022118</v>
      </c>
      <c r="E2639" s="4" t="str">
        <f t="shared" si="333"/>
        <v>21</v>
      </c>
      <c r="F2639" s="4" t="str">
        <f>"18"</f>
        <v>18</v>
      </c>
      <c r="G2639" s="4" t="s">
        <v>27</v>
      </c>
      <c r="H2639" s="5">
        <v>67.65</v>
      </c>
      <c r="I2639" s="4"/>
      <c r="J2639" s="4">
        <f>SUMPRODUCT(--((A2639=$A$3:$A$2785)*$H$3:$H$2785&gt;H2639))+1</f>
        <v>36</v>
      </c>
    </row>
    <row r="2640" s="1" customFormat="true" customHeight="true" spans="1:10">
      <c r="A2640" s="4" t="str">
        <f t="shared" si="325"/>
        <v>037</v>
      </c>
      <c r="B2640" s="4" t="s">
        <v>49</v>
      </c>
      <c r="C2640" s="4" t="str">
        <f>"罗楚瑶"</f>
        <v>罗楚瑶</v>
      </c>
      <c r="D2640" s="4" t="str">
        <f>"2021022311"</f>
        <v>2021022311</v>
      </c>
      <c r="E2640" s="4" t="str">
        <f>"23"</f>
        <v>23</v>
      </c>
      <c r="F2640" s="4" t="str">
        <f>"11"</f>
        <v>11</v>
      </c>
      <c r="G2640" s="4" t="s">
        <v>27</v>
      </c>
      <c r="H2640" s="5">
        <v>67.3</v>
      </c>
      <c r="I2640" s="4"/>
      <c r="J2640" s="4">
        <f>SUMPRODUCT(--((A2640=$A$3:$A$2785)*$H$3:$H$2785&gt;H2640))+1</f>
        <v>37</v>
      </c>
    </row>
    <row r="2641" s="1" customFormat="true" customHeight="true" spans="1:10">
      <c r="A2641" s="4" t="str">
        <f t="shared" si="325"/>
        <v>037</v>
      </c>
      <c r="B2641" s="4" t="s">
        <v>49</v>
      </c>
      <c r="C2641" s="4" t="str">
        <f>"田雨晴"</f>
        <v>田雨晴</v>
      </c>
      <c r="D2641" s="4" t="str">
        <f>"2021022403"</f>
        <v>2021022403</v>
      </c>
      <c r="E2641" s="4" t="str">
        <f t="shared" ref="E2641:E2644" si="334">"24"</f>
        <v>24</v>
      </c>
      <c r="F2641" s="4" t="str">
        <f>"03"</f>
        <v>03</v>
      </c>
      <c r="G2641" s="4" t="s">
        <v>27</v>
      </c>
      <c r="H2641" s="5">
        <v>65.9</v>
      </c>
      <c r="I2641" s="4"/>
      <c r="J2641" s="4">
        <f>SUMPRODUCT(--((A2641=$A$3:$A$2785)*$H$3:$H$2785&gt;H2641))+1</f>
        <v>38</v>
      </c>
    </row>
    <row r="2642" s="1" customFormat="true" customHeight="true" spans="1:10">
      <c r="A2642" s="4" t="str">
        <f t="shared" si="325"/>
        <v>037</v>
      </c>
      <c r="B2642" s="4" t="s">
        <v>49</v>
      </c>
      <c r="C2642" s="4" t="str">
        <f>"杨群"</f>
        <v>杨群</v>
      </c>
      <c r="D2642" s="4" t="str">
        <f>"2021022112"</f>
        <v>2021022112</v>
      </c>
      <c r="E2642" s="4" t="str">
        <f t="shared" si="333"/>
        <v>21</v>
      </c>
      <c r="F2642" s="4" t="str">
        <f>"12"</f>
        <v>12</v>
      </c>
      <c r="G2642" s="4" t="s">
        <v>27</v>
      </c>
      <c r="H2642" s="5">
        <v>65.85</v>
      </c>
      <c r="I2642" s="4"/>
      <c r="J2642" s="4">
        <f>SUMPRODUCT(--((A2642=$A$3:$A$2785)*$H$3:$H$2785&gt;H2642))+1</f>
        <v>39</v>
      </c>
    </row>
    <row r="2643" s="1" customFormat="true" customHeight="true" spans="1:10">
      <c r="A2643" s="4" t="str">
        <f t="shared" si="325"/>
        <v>037</v>
      </c>
      <c r="B2643" s="4" t="s">
        <v>49</v>
      </c>
      <c r="C2643" s="4" t="str">
        <f>"贺雪沁"</f>
        <v>贺雪沁</v>
      </c>
      <c r="D2643" s="4" t="str">
        <f>"2021022417"</f>
        <v>2021022417</v>
      </c>
      <c r="E2643" s="4" t="str">
        <f t="shared" si="334"/>
        <v>24</v>
      </c>
      <c r="F2643" s="4" t="str">
        <f>"17"</f>
        <v>17</v>
      </c>
      <c r="G2643" s="4" t="s">
        <v>27</v>
      </c>
      <c r="H2643" s="5">
        <v>65.8</v>
      </c>
      <c r="I2643" s="4"/>
      <c r="J2643" s="4">
        <f>SUMPRODUCT(--((A2643=$A$3:$A$2785)*$H$3:$H$2785&gt;H2643))+1</f>
        <v>40</v>
      </c>
    </row>
    <row r="2644" s="1" customFormat="true" customHeight="true" spans="1:10">
      <c r="A2644" s="4" t="str">
        <f t="shared" si="325"/>
        <v>037</v>
      </c>
      <c r="B2644" s="4" t="s">
        <v>49</v>
      </c>
      <c r="C2644" s="4" t="str">
        <f>"王柯丽"</f>
        <v>王柯丽</v>
      </c>
      <c r="D2644" s="4" t="str">
        <f>"2021022412"</f>
        <v>2021022412</v>
      </c>
      <c r="E2644" s="4" t="str">
        <f t="shared" si="334"/>
        <v>24</v>
      </c>
      <c r="F2644" s="4" t="str">
        <f>"12"</f>
        <v>12</v>
      </c>
      <c r="G2644" s="4" t="s">
        <v>27</v>
      </c>
      <c r="H2644" s="5">
        <v>65.7</v>
      </c>
      <c r="I2644" s="4"/>
      <c r="J2644" s="4">
        <f>SUMPRODUCT(--((A2644=$A$3:$A$2785)*$H$3:$H$2785&gt;H2644))+1</f>
        <v>41</v>
      </c>
    </row>
    <row r="2645" s="1" customFormat="true" customHeight="true" spans="1:10">
      <c r="A2645" s="4" t="str">
        <f t="shared" si="325"/>
        <v>037</v>
      </c>
      <c r="B2645" s="4" t="s">
        <v>49</v>
      </c>
      <c r="C2645" s="4" t="str">
        <f>"田梅"</f>
        <v>田梅</v>
      </c>
      <c r="D2645" s="4" t="str">
        <f>"2021022306"</f>
        <v>2021022306</v>
      </c>
      <c r="E2645" s="4" t="str">
        <f>"23"</f>
        <v>23</v>
      </c>
      <c r="F2645" s="4" t="str">
        <f>"06"</f>
        <v>06</v>
      </c>
      <c r="G2645" s="4" t="s">
        <v>27</v>
      </c>
      <c r="H2645" s="5">
        <v>65.55</v>
      </c>
      <c r="I2645" s="4"/>
      <c r="J2645" s="4">
        <f>SUMPRODUCT(--((A2645=$A$3:$A$2785)*$H$3:$H$2785&gt;H2645))+1</f>
        <v>42</v>
      </c>
    </row>
    <row r="2646" s="1" customFormat="true" customHeight="true" spans="1:10">
      <c r="A2646" s="4" t="str">
        <f t="shared" si="325"/>
        <v>037</v>
      </c>
      <c r="B2646" s="4" t="s">
        <v>49</v>
      </c>
      <c r="C2646" s="4" t="str">
        <f>"姜楠"</f>
        <v>姜楠</v>
      </c>
      <c r="D2646" s="4" t="str">
        <f>"2021022026"</f>
        <v>2021022026</v>
      </c>
      <c r="E2646" s="4" t="str">
        <f>"20"</f>
        <v>20</v>
      </c>
      <c r="F2646" s="4" t="str">
        <f>"26"</f>
        <v>26</v>
      </c>
      <c r="G2646" s="4" t="s">
        <v>27</v>
      </c>
      <c r="H2646" s="5">
        <v>65.3</v>
      </c>
      <c r="I2646" s="4"/>
      <c r="J2646" s="4">
        <f>SUMPRODUCT(--((A2646=$A$3:$A$2785)*$H$3:$H$2785&gt;H2646))+1</f>
        <v>43</v>
      </c>
    </row>
    <row r="2647" s="1" customFormat="true" customHeight="true" spans="1:10">
      <c r="A2647" s="4" t="str">
        <f t="shared" si="325"/>
        <v>037</v>
      </c>
      <c r="B2647" s="4" t="s">
        <v>49</v>
      </c>
      <c r="C2647" s="4" t="str">
        <f>"舒杨"</f>
        <v>舒杨</v>
      </c>
      <c r="D2647" s="4" t="str">
        <f>"2021022423"</f>
        <v>2021022423</v>
      </c>
      <c r="E2647" s="4" t="str">
        <f>"24"</f>
        <v>24</v>
      </c>
      <c r="F2647" s="4" t="str">
        <f>"23"</f>
        <v>23</v>
      </c>
      <c r="G2647" s="4" t="s">
        <v>27</v>
      </c>
      <c r="H2647" s="5">
        <v>65.3</v>
      </c>
      <c r="I2647" s="4"/>
      <c r="J2647" s="4">
        <f>SUMPRODUCT(--((A2647=$A$3:$A$2785)*$H$3:$H$2785&gt;H2647))+1</f>
        <v>43</v>
      </c>
    </row>
    <row r="2648" s="1" customFormat="true" customHeight="true" spans="1:10">
      <c r="A2648" s="4" t="str">
        <f t="shared" si="325"/>
        <v>037</v>
      </c>
      <c r="B2648" s="4" t="s">
        <v>49</v>
      </c>
      <c r="C2648" s="4" t="str">
        <f>"谢金燕"</f>
        <v>谢金燕</v>
      </c>
      <c r="D2648" s="4" t="str">
        <f>"2021022411"</f>
        <v>2021022411</v>
      </c>
      <c r="E2648" s="4" t="str">
        <f>"24"</f>
        <v>24</v>
      </c>
      <c r="F2648" s="4" t="str">
        <f>"11"</f>
        <v>11</v>
      </c>
      <c r="G2648" s="4" t="s">
        <v>27</v>
      </c>
      <c r="H2648" s="5">
        <v>65.2</v>
      </c>
      <c r="I2648" s="4"/>
      <c r="J2648" s="4">
        <f>SUMPRODUCT(--((A2648=$A$3:$A$2785)*$H$3:$H$2785&gt;H2648))+1</f>
        <v>45</v>
      </c>
    </row>
    <row r="2649" s="1" customFormat="true" customHeight="true" spans="1:10">
      <c r="A2649" s="4" t="str">
        <f t="shared" si="325"/>
        <v>037</v>
      </c>
      <c r="B2649" s="4" t="s">
        <v>49</v>
      </c>
      <c r="C2649" s="4" t="str">
        <f>"黄昭辉"</f>
        <v>黄昭辉</v>
      </c>
      <c r="D2649" s="4" t="str">
        <f>"2021022122"</f>
        <v>2021022122</v>
      </c>
      <c r="E2649" s="4" t="str">
        <f>"21"</f>
        <v>21</v>
      </c>
      <c r="F2649" s="4" t="str">
        <f>"22"</f>
        <v>22</v>
      </c>
      <c r="G2649" s="4" t="s">
        <v>27</v>
      </c>
      <c r="H2649" s="5">
        <v>65.05</v>
      </c>
      <c r="I2649" s="4"/>
      <c r="J2649" s="4">
        <f>SUMPRODUCT(--((A2649=$A$3:$A$2785)*$H$3:$H$2785&gt;H2649))+1</f>
        <v>46</v>
      </c>
    </row>
    <row r="2650" s="1" customFormat="true" customHeight="true" spans="1:10">
      <c r="A2650" s="4" t="str">
        <f t="shared" si="325"/>
        <v>037</v>
      </c>
      <c r="B2650" s="4" t="s">
        <v>49</v>
      </c>
      <c r="C2650" s="4" t="str">
        <f>"向丽君"</f>
        <v>向丽君</v>
      </c>
      <c r="D2650" s="4" t="str">
        <f>"2021022214"</f>
        <v>2021022214</v>
      </c>
      <c r="E2650" s="4" t="str">
        <f>"22"</f>
        <v>22</v>
      </c>
      <c r="F2650" s="4" t="str">
        <f>"14"</f>
        <v>14</v>
      </c>
      <c r="G2650" s="4" t="s">
        <v>27</v>
      </c>
      <c r="H2650" s="5">
        <v>64.85</v>
      </c>
      <c r="I2650" s="4"/>
      <c r="J2650" s="4">
        <f>SUMPRODUCT(--((A2650=$A$3:$A$2785)*$H$3:$H$2785&gt;H2650))+1</f>
        <v>47</v>
      </c>
    </row>
    <row r="2651" s="1" customFormat="true" customHeight="true" spans="1:10">
      <c r="A2651" s="4" t="str">
        <f t="shared" si="325"/>
        <v>037</v>
      </c>
      <c r="B2651" s="4" t="s">
        <v>49</v>
      </c>
      <c r="C2651" s="4" t="str">
        <f>"邹娟"</f>
        <v>邹娟</v>
      </c>
      <c r="D2651" s="4" t="str">
        <f>"2021022220"</f>
        <v>2021022220</v>
      </c>
      <c r="E2651" s="4" t="str">
        <f>"22"</f>
        <v>22</v>
      </c>
      <c r="F2651" s="4" t="str">
        <f>"20"</f>
        <v>20</v>
      </c>
      <c r="G2651" s="4" t="s">
        <v>27</v>
      </c>
      <c r="H2651" s="5">
        <v>64.65</v>
      </c>
      <c r="I2651" s="4"/>
      <c r="J2651" s="4">
        <f>SUMPRODUCT(--((A2651=$A$3:$A$2785)*$H$3:$H$2785&gt;H2651))+1</f>
        <v>48</v>
      </c>
    </row>
    <row r="2652" s="1" customFormat="true" customHeight="true" spans="1:10">
      <c r="A2652" s="4" t="str">
        <f t="shared" si="325"/>
        <v>037</v>
      </c>
      <c r="B2652" s="4" t="s">
        <v>49</v>
      </c>
      <c r="C2652" s="4" t="str">
        <f>"张杰"</f>
        <v>张杰</v>
      </c>
      <c r="D2652" s="4" t="str">
        <f>"2021022308"</f>
        <v>2021022308</v>
      </c>
      <c r="E2652" s="4" t="str">
        <f>"23"</f>
        <v>23</v>
      </c>
      <c r="F2652" s="4" t="str">
        <f>"08"</f>
        <v>08</v>
      </c>
      <c r="G2652" s="4" t="s">
        <v>27</v>
      </c>
      <c r="H2652" s="5">
        <v>64.55</v>
      </c>
      <c r="I2652" s="4"/>
      <c r="J2652" s="4">
        <f>SUMPRODUCT(--((A2652=$A$3:$A$2785)*$H$3:$H$2785&gt;H2652))+1</f>
        <v>49</v>
      </c>
    </row>
    <row r="2653" s="1" customFormat="true" customHeight="true" spans="1:10">
      <c r="A2653" s="4" t="str">
        <f t="shared" si="325"/>
        <v>037</v>
      </c>
      <c r="B2653" s="4" t="s">
        <v>49</v>
      </c>
      <c r="C2653" s="4" t="str">
        <f>"韩霞蔚"</f>
        <v>韩霞蔚</v>
      </c>
      <c r="D2653" s="4" t="str">
        <f>"2021022506"</f>
        <v>2021022506</v>
      </c>
      <c r="E2653" s="4" t="str">
        <f t="shared" ref="E2653:E2657" si="335">"25"</f>
        <v>25</v>
      </c>
      <c r="F2653" s="4" t="str">
        <f>"06"</f>
        <v>06</v>
      </c>
      <c r="G2653" s="4" t="s">
        <v>27</v>
      </c>
      <c r="H2653" s="5">
        <v>64.55</v>
      </c>
      <c r="I2653" s="4"/>
      <c r="J2653" s="4">
        <f>SUMPRODUCT(--((A2653=$A$3:$A$2785)*$H$3:$H$2785&gt;H2653))+1</f>
        <v>49</v>
      </c>
    </row>
    <row r="2654" s="1" customFormat="true" customHeight="true" spans="1:10">
      <c r="A2654" s="4" t="str">
        <f t="shared" si="325"/>
        <v>037</v>
      </c>
      <c r="B2654" s="4" t="s">
        <v>49</v>
      </c>
      <c r="C2654" s="4" t="str">
        <f>"杨立珊"</f>
        <v>杨立珊</v>
      </c>
      <c r="D2654" s="4" t="str">
        <f>"2021022126"</f>
        <v>2021022126</v>
      </c>
      <c r="E2654" s="4" t="str">
        <f>"21"</f>
        <v>21</v>
      </c>
      <c r="F2654" s="4" t="str">
        <f>"26"</f>
        <v>26</v>
      </c>
      <c r="G2654" s="4" t="s">
        <v>27</v>
      </c>
      <c r="H2654" s="5">
        <v>63.8</v>
      </c>
      <c r="I2654" s="4"/>
      <c r="J2654" s="4">
        <f>SUMPRODUCT(--((A2654=$A$3:$A$2785)*$H$3:$H$2785&gt;H2654))+1</f>
        <v>51</v>
      </c>
    </row>
    <row r="2655" s="1" customFormat="true" customHeight="true" spans="1:10">
      <c r="A2655" s="4" t="str">
        <f t="shared" si="325"/>
        <v>037</v>
      </c>
      <c r="B2655" s="4" t="s">
        <v>49</v>
      </c>
      <c r="C2655" s="4" t="str">
        <f>"毛瑜凡"</f>
        <v>毛瑜凡</v>
      </c>
      <c r="D2655" s="4" t="str">
        <f>"2021022514"</f>
        <v>2021022514</v>
      </c>
      <c r="E2655" s="4" t="str">
        <f t="shared" si="335"/>
        <v>25</v>
      </c>
      <c r="F2655" s="4" t="str">
        <f>"14"</f>
        <v>14</v>
      </c>
      <c r="G2655" s="4" t="s">
        <v>27</v>
      </c>
      <c r="H2655" s="5">
        <v>63.8</v>
      </c>
      <c r="I2655" s="4"/>
      <c r="J2655" s="4">
        <f>SUMPRODUCT(--((A2655=$A$3:$A$2785)*$H$3:$H$2785&gt;H2655))+1</f>
        <v>51</v>
      </c>
    </row>
    <row r="2656" s="1" customFormat="true" customHeight="true" spans="1:10">
      <c r="A2656" s="4" t="str">
        <f t="shared" si="325"/>
        <v>037</v>
      </c>
      <c r="B2656" s="4" t="s">
        <v>49</v>
      </c>
      <c r="C2656" s="4" t="str">
        <f>"曾艳玲"</f>
        <v>曾艳玲</v>
      </c>
      <c r="D2656" s="4" t="str">
        <f>"2021022229"</f>
        <v>2021022229</v>
      </c>
      <c r="E2656" s="4" t="str">
        <f>"22"</f>
        <v>22</v>
      </c>
      <c r="F2656" s="4" t="str">
        <f>"29"</f>
        <v>29</v>
      </c>
      <c r="G2656" s="4" t="s">
        <v>27</v>
      </c>
      <c r="H2656" s="5">
        <v>63.3</v>
      </c>
      <c r="I2656" s="4"/>
      <c r="J2656" s="4">
        <f>SUMPRODUCT(--((A2656=$A$3:$A$2785)*$H$3:$H$2785&gt;H2656))+1</f>
        <v>53</v>
      </c>
    </row>
    <row r="2657" s="1" customFormat="true" customHeight="true" spans="1:10">
      <c r="A2657" s="4" t="str">
        <f t="shared" si="325"/>
        <v>037</v>
      </c>
      <c r="B2657" s="4" t="s">
        <v>49</v>
      </c>
      <c r="C2657" s="4" t="str">
        <f>"蒋然"</f>
        <v>蒋然</v>
      </c>
      <c r="D2657" s="4" t="str">
        <f>"2021022504"</f>
        <v>2021022504</v>
      </c>
      <c r="E2657" s="4" t="str">
        <f t="shared" si="335"/>
        <v>25</v>
      </c>
      <c r="F2657" s="4" t="str">
        <f>"04"</f>
        <v>04</v>
      </c>
      <c r="G2657" s="4" t="s">
        <v>27</v>
      </c>
      <c r="H2657" s="5">
        <v>63.2</v>
      </c>
      <c r="I2657" s="4"/>
      <c r="J2657" s="4">
        <f>SUMPRODUCT(--((A2657=$A$3:$A$2785)*$H$3:$H$2785&gt;H2657))+1</f>
        <v>54</v>
      </c>
    </row>
    <row r="2658" s="1" customFormat="true" customHeight="true" spans="1:10">
      <c r="A2658" s="4" t="str">
        <f t="shared" si="325"/>
        <v>037</v>
      </c>
      <c r="B2658" s="4" t="s">
        <v>49</v>
      </c>
      <c r="C2658" s="4" t="str">
        <f>"周思琦"</f>
        <v>周思琦</v>
      </c>
      <c r="D2658" s="4" t="str">
        <f>"2021022120"</f>
        <v>2021022120</v>
      </c>
      <c r="E2658" s="4" t="str">
        <f>"21"</f>
        <v>21</v>
      </c>
      <c r="F2658" s="4" t="str">
        <f>"20"</f>
        <v>20</v>
      </c>
      <c r="G2658" s="4" t="s">
        <v>27</v>
      </c>
      <c r="H2658" s="5">
        <v>62.5</v>
      </c>
      <c r="I2658" s="4"/>
      <c r="J2658" s="4">
        <f>SUMPRODUCT(--((A2658=$A$3:$A$2785)*$H$3:$H$2785&gt;H2658))+1</f>
        <v>55</v>
      </c>
    </row>
    <row r="2659" s="1" customFormat="true" customHeight="true" spans="1:10">
      <c r="A2659" s="4" t="str">
        <f t="shared" si="325"/>
        <v>037</v>
      </c>
      <c r="B2659" s="4" t="s">
        <v>49</v>
      </c>
      <c r="C2659" s="4" t="str">
        <f>"胡康玲"</f>
        <v>胡康玲</v>
      </c>
      <c r="D2659" s="4" t="str">
        <f>"2021022022"</f>
        <v>2021022022</v>
      </c>
      <c r="E2659" s="4" t="str">
        <f>"20"</f>
        <v>20</v>
      </c>
      <c r="F2659" s="4" t="str">
        <f>"22"</f>
        <v>22</v>
      </c>
      <c r="G2659" s="4" t="s">
        <v>27</v>
      </c>
      <c r="H2659" s="5">
        <v>62.25</v>
      </c>
      <c r="I2659" s="4"/>
      <c r="J2659" s="4">
        <f>SUMPRODUCT(--((A2659=$A$3:$A$2785)*$H$3:$H$2785&gt;H2659))+1</f>
        <v>56</v>
      </c>
    </row>
    <row r="2660" s="1" customFormat="true" customHeight="true" spans="1:10">
      <c r="A2660" s="4" t="str">
        <f t="shared" si="325"/>
        <v>037</v>
      </c>
      <c r="B2660" s="4" t="s">
        <v>49</v>
      </c>
      <c r="C2660" s="4" t="str">
        <f>"黄芳华"</f>
        <v>黄芳华</v>
      </c>
      <c r="D2660" s="4" t="str">
        <f>"2021022023"</f>
        <v>2021022023</v>
      </c>
      <c r="E2660" s="4" t="str">
        <f>"20"</f>
        <v>20</v>
      </c>
      <c r="F2660" s="4" t="str">
        <f>"23"</f>
        <v>23</v>
      </c>
      <c r="G2660" s="4" t="s">
        <v>27</v>
      </c>
      <c r="H2660" s="5">
        <v>62.05</v>
      </c>
      <c r="I2660" s="4"/>
      <c r="J2660" s="4">
        <f>SUMPRODUCT(--((A2660=$A$3:$A$2785)*$H$3:$H$2785&gt;H2660))+1</f>
        <v>57</v>
      </c>
    </row>
    <row r="2661" s="1" customFormat="true" customHeight="true" spans="1:10">
      <c r="A2661" s="4" t="str">
        <f t="shared" si="325"/>
        <v>037</v>
      </c>
      <c r="B2661" s="4" t="s">
        <v>49</v>
      </c>
      <c r="C2661" s="4" t="str">
        <f>"何雪梅"</f>
        <v>何雪梅</v>
      </c>
      <c r="D2661" s="4" t="str">
        <f>"2021022204"</f>
        <v>2021022204</v>
      </c>
      <c r="E2661" s="4" t="str">
        <f>"22"</f>
        <v>22</v>
      </c>
      <c r="F2661" s="4" t="str">
        <f>"04"</f>
        <v>04</v>
      </c>
      <c r="G2661" s="4" t="s">
        <v>27</v>
      </c>
      <c r="H2661" s="5">
        <v>62</v>
      </c>
      <c r="I2661" s="4"/>
      <c r="J2661" s="4">
        <f>SUMPRODUCT(--((A2661=$A$3:$A$2785)*$H$3:$H$2785&gt;H2661))+1</f>
        <v>58</v>
      </c>
    </row>
    <row r="2662" s="1" customFormat="true" customHeight="true" spans="1:10">
      <c r="A2662" s="4" t="str">
        <f t="shared" si="325"/>
        <v>037</v>
      </c>
      <c r="B2662" s="4" t="s">
        <v>49</v>
      </c>
      <c r="C2662" s="4" t="str">
        <f>"龙湘明"</f>
        <v>龙湘明</v>
      </c>
      <c r="D2662" s="4" t="str">
        <f>"2021022206"</f>
        <v>2021022206</v>
      </c>
      <c r="E2662" s="4" t="str">
        <f>"22"</f>
        <v>22</v>
      </c>
      <c r="F2662" s="4" t="str">
        <f>"06"</f>
        <v>06</v>
      </c>
      <c r="G2662" s="4" t="s">
        <v>27</v>
      </c>
      <c r="H2662" s="5">
        <v>61.85</v>
      </c>
      <c r="I2662" s="4"/>
      <c r="J2662" s="4">
        <f>SUMPRODUCT(--((A2662=$A$3:$A$2785)*$H$3:$H$2785&gt;H2662))+1</f>
        <v>59</v>
      </c>
    </row>
    <row r="2663" s="1" customFormat="true" customHeight="true" spans="1:10">
      <c r="A2663" s="4" t="str">
        <f t="shared" si="325"/>
        <v>037</v>
      </c>
      <c r="B2663" s="4" t="s">
        <v>49</v>
      </c>
      <c r="C2663" s="4" t="str">
        <f>"万月桦"</f>
        <v>万月桦</v>
      </c>
      <c r="D2663" s="4" t="str">
        <f>"2021022410"</f>
        <v>2021022410</v>
      </c>
      <c r="E2663" s="4" t="str">
        <f t="shared" ref="E2663:E2667" si="336">"24"</f>
        <v>24</v>
      </c>
      <c r="F2663" s="4" t="str">
        <f t="shared" ref="F2663:F2668" si="337">"10"</f>
        <v>10</v>
      </c>
      <c r="G2663" s="4" t="s">
        <v>27</v>
      </c>
      <c r="H2663" s="5">
        <v>61.25</v>
      </c>
      <c r="I2663" s="4"/>
      <c r="J2663" s="4">
        <f>SUMPRODUCT(--((A2663=$A$3:$A$2785)*$H$3:$H$2785&gt;H2663))+1</f>
        <v>60</v>
      </c>
    </row>
    <row r="2664" s="1" customFormat="true" customHeight="true" spans="1:10">
      <c r="A2664" s="4" t="str">
        <f t="shared" si="325"/>
        <v>037</v>
      </c>
      <c r="B2664" s="4" t="s">
        <v>49</v>
      </c>
      <c r="C2664" s="4" t="str">
        <f>"王倩"</f>
        <v>王倩</v>
      </c>
      <c r="D2664" s="4" t="str">
        <f>"2021022116"</f>
        <v>2021022116</v>
      </c>
      <c r="E2664" s="4" t="str">
        <f>"21"</f>
        <v>21</v>
      </c>
      <c r="F2664" s="4" t="str">
        <f>"16"</f>
        <v>16</v>
      </c>
      <c r="G2664" s="4" t="s">
        <v>27</v>
      </c>
      <c r="H2664" s="5">
        <v>61</v>
      </c>
      <c r="I2664" s="4"/>
      <c r="J2664" s="4">
        <f>SUMPRODUCT(--((A2664=$A$3:$A$2785)*$H$3:$H$2785&gt;H2664))+1</f>
        <v>61</v>
      </c>
    </row>
    <row r="2665" s="1" customFormat="true" customHeight="true" spans="1:10">
      <c r="A2665" s="4" t="str">
        <f t="shared" si="325"/>
        <v>037</v>
      </c>
      <c r="B2665" s="4" t="s">
        <v>49</v>
      </c>
      <c r="C2665" s="4" t="str">
        <f>"陈娟"</f>
        <v>陈娟</v>
      </c>
      <c r="D2665" s="4" t="str">
        <f>"2021022430"</f>
        <v>2021022430</v>
      </c>
      <c r="E2665" s="4" t="str">
        <f t="shared" si="336"/>
        <v>24</v>
      </c>
      <c r="F2665" s="4" t="str">
        <f>"30"</f>
        <v>30</v>
      </c>
      <c r="G2665" s="4" t="s">
        <v>27</v>
      </c>
      <c r="H2665" s="5">
        <v>60.65</v>
      </c>
      <c r="I2665" s="4"/>
      <c r="J2665" s="4">
        <f>SUMPRODUCT(--((A2665=$A$3:$A$2785)*$H$3:$H$2785&gt;H2665))+1</f>
        <v>62</v>
      </c>
    </row>
    <row r="2666" s="1" customFormat="true" customHeight="true" spans="1:10">
      <c r="A2666" s="4" t="str">
        <f t="shared" si="325"/>
        <v>037</v>
      </c>
      <c r="B2666" s="4" t="s">
        <v>49</v>
      </c>
      <c r="C2666" s="4" t="str">
        <f>"张玉"</f>
        <v>张玉</v>
      </c>
      <c r="D2666" s="4" t="str">
        <f>"2021022110"</f>
        <v>2021022110</v>
      </c>
      <c r="E2666" s="4" t="str">
        <f>"21"</f>
        <v>21</v>
      </c>
      <c r="F2666" s="4" t="str">
        <f t="shared" si="337"/>
        <v>10</v>
      </c>
      <c r="G2666" s="4" t="s">
        <v>27</v>
      </c>
      <c r="H2666" s="5">
        <v>60.55</v>
      </c>
      <c r="I2666" s="4"/>
      <c r="J2666" s="4">
        <f>SUMPRODUCT(--((A2666=$A$3:$A$2785)*$H$3:$H$2785&gt;H2666))+1</f>
        <v>63</v>
      </c>
    </row>
    <row r="2667" s="1" customFormat="true" customHeight="true" spans="1:10">
      <c r="A2667" s="4" t="str">
        <f t="shared" si="325"/>
        <v>037</v>
      </c>
      <c r="B2667" s="4" t="s">
        <v>49</v>
      </c>
      <c r="C2667" s="4" t="str">
        <f>"郭玲"</f>
        <v>郭玲</v>
      </c>
      <c r="D2667" s="4" t="str">
        <f>"2021022415"</f>
        <v>2021022415</v>
      </c>
      <c r="E2667" s="4" t="str">
        <f t="shared" si="336"/>
        <v>24</v>
      </c>
      <c r="F2667" s="4" t="str">
        <f>"15"</f>
        <v>15</v>
      </c>
      <c r="G2667" s="4" t="s">
        <v>27</v>
      </c>
      <c r="H2667" s="5">
        <v>60.3</v>
      </c>
      <c r="I2667" s="4"/>
      <c r="J2667" s="4">
        <f>SUMPRODUCT(--((A2667=$A$3:$A$2785)*$H$3:$H$2785&gt;H2667))+1</f>
        <v>64</v>
      </c>
    </row>
    <row r="2668" s="1" customFormat="true" customHeight="true" spans="1:10">
      <c r="A2668" s="4" t="str">
        <f t="shared" ref="A2668:A2731" si="338">"037"</f>
        <v>037</v>
      </c>
      <c r="B2668" s="4" t="s">
        <v>49</v>
      </c>
      <c r="C2668" s="4" t="str">
        <f>"陈琴燕"</f>
        <v>陈琴燕</v>
      </c>
      <c r="D2668" s="4" t="str">
        <f>"2021022310"</f>
        <v>2021022310</v>
      </c>
      <c r="E2668" s="4" t="str">
        <f>"23"</f>
        <v>23</v>
      </c>
      <c r="F2668" s="4" t="str">
        <f t="shared" si="337"/>
        <v>10</v>
      </c>
      <c r="G2668" s="4" t="s">
        <v>27</v>
      </c>
      <c r="H2668" s="5">
        <v>59.65</v>
      </c>
      <c r="I2668" s="4"/>
      <c r="J2668" s="4">
        <f>SUMPRODUCT(--((A2668=$A$3:$A$2785)*$H$3:$H$2785&gt;H2668))+1</f>
        <v>65</v>
      </c>
    </row>
    <row r="2669" s="1" customFormat="true" customHeight="true" spans="1:10">
      <c r="A2669" s="4" t="str">
        <f t="shared" si="338"/>
        <v>037</v>
      </c>
      <c r="B2669" s="4" t="s">
        <v>49</v>
      </c>
      <c r="C2669" s="4" t="str">
        <f>"夏玲"</f>
        <v>夏玲</v>
      </c>
      <c r="D2669" s="4" t="str">
        <f>"2021022503"</f>
        <v>2021022503</v>
      </c>
      <c r="E2669" s="4" t="str">
        <f t="shared" ref="E2669:E2674" si="339">"25"</f>
        <v>25</v>
      </c>
      <c r="F2669" s="4" t="str">
        <f>"03"</f>
        <v>03</v>
      </c>
      <c r="G2669" s="4" t="s">
        <v>27</v>
      </c>
      <c r="H2669" s="5">
        <v>59.55</v>
      </c>
      <c r="I2669" s="4"/>
      <c r="J2669" s="4">
        <f>SUMPRODUCT(--((A2669=$A$3:$A$2785)*$H$3:$H$2785&gt;H2669))+1</f>
        <v>66</v>
      </c>
    </row>
    <row r="2670" s="1" customFormat="true" customHeight="true" spans="1:10">
      <c r="A2670" s="4" t="str">
        <f t="shared" si="338"/>
        <v>037</v>
      </c>
      <c r="B2670" s="4" t="s">
        <v>49</v>
      </c>
      <c r="C2670" s="4" t="str">
        <f>"彭丽霞"</f>
        <v>彭丽霞</v>
      </c>
      <c r="D2670" s="4" t="str">
        <f>"2021022019"</f>
        <v>2021022019</v>
      </c>
      <c r="E2670" s="4" t="str">
        <f>"20"</f>
        <v>20</v>
      </c>
      <c r="F2670" s="4" t="str">
        <f>"19"</f>
        <v>19</v>
      </c>
      <c r="G2670" s="4" t="s">
        <v>27</v>
      </c>
      <c r="H2670" s="5">
        <v>59.1</v>
      </c>
      <c r="I2670" s="4"/>
      <c r="J2670" s="4">
        <f>SUMPRODUCT(--((A2670=$A$3:$A$2785)*$H$3:$H$2785&gt;H2670))+1</f>
        <v>67</v>
      </c>
    </row>
    <row r="2671" s="1" customFormat="true" customHeight="true" spans="1:10">
      <c r="A2671" s="4" t="str">
        <f t="shared" si="338"/>
        <v>037</v>
      </c>
      <c r="B2671" s="4" t="s">
        <v>49</v>
      </c>
      <c r="C2671" s="4" t="str">
        <f>"张燕萍"</f>
        <v>张燕萍</v>
      </c>
      <c r="D2671" s="4" t="str">
        <f>"2021022024"</f>
        <v>2021022024</v>
      </c>
      <c r="E2671" s="4" t="str">
        <f>"20"</f>
        <v>20</v>
      </c>
      <c r="F2671" s="4" t="str">
        <f>"24"</f>
        <v>24</v>
      </c>
      <c r="G2671" s="4" t="s">
        <v>27</v>
      </c>
      <c r="H2671" s="5">
        <v>59.05</v>
      </c>
      <c r="I2671" s="4"/>
      <c r="J2671" s="4">
        <f>SUMPRODUCT(--((A2671=$A$3:$A$2785)*$H$3:$H$2785&gt;H2671))+1</f>
        <v>68</v>
      </c>
    </row>
    <row r="2672" s="1" customFormat="true" customHeight="true" spans="1:10">
      <c r="A2672" s="4" t="str">
        <f t="shared" si="338"/>
        <v>037</v>
      </c>
      <c r="B2672" s="4" t="s">
        <v>49</v>
      </c>
      <c r="C2672" s="4" t="str">
        <f>"杨晓阳"</f>
        <v>杨晓阳</v>
      </c>
      <c r="D2672" s="4" t="str">
        <f>"2021022129"</f>
        <v>2021022129</v>
      </c>
      <c r="E2672" s="4" t="str">
        <f>"21"</f>
        <v>21</v>
      </c>
      <c r="F2672" s="4" t="str">
        <f>"29"</f>
        <v>29</v>
      </c>
      <c r="G2672" s="4" t="s">
        <v>27</v>
      </c>
      <c r="H2672" s="5">
        <v>58.55</v>
      </c>
      <c r="I2672" s="4"/>
      <c r="J2672" s="4">
        <f>SUMPRODUCT(--((A2672=$A$3:$A$2785)*$H$3:$H$2785&gt;H2672))+1</f>
        <v>69</v>
      </c>
    </row>
    <row r="2673" s="1" customFormat="true" customHeight="true" spans="1:10">
      <c r="A2673" s="4" t="str">
        <f t="shared" si="338"/>
        <v>037</v>
      </c>
      <c r="B2673" s="4" t="s">
        <v>49</v>
      </c>
      <c r="C2673" s="4" t="str">
        <f>"贺嘉梅"</f>
        <v>贺嘉梅</v>
      </c>
      <c r="D2673" s="4" t="str">
        <f>"2021022502"</f>
        <v>2021022502</v>
      </c>
      <c r="E2673" s="4" t="str">
        <f t="shared" si="339"/>
        <v>25</v>
      </c>
      <c r="F2673" s="4" t="str">
        <f>"02"</f>
        <v>02</v>
      </c>
      <c r="G2673" s="4" t="s">
        <v>27</v>
      </c>
      <c r="H2673" s="5">
        <v>58.35</v>
      </c>
      <c r="I2673" s="4"/>
      <c r="J2673" s="4">
        <f>SUMPRODUCT(--((A2673=$A$3:$A$2785)*$H$3:$H$2785&gt;H2673))+1</f>
        <v>70</v>
      </c>
    </row>
    <row r="2674" s="1" customFormat="true" customHeight="true" spans="1:10">
      <c r="A2674" s="4" t="str">
        <f t="shared" si="338"/>
        <v>037</v>
      </c>
      <c r="B2674" s="4" t="s">
        <v>49</v>
      </c>
      <c r="C2674" s="4" t="str">
        <f>"李秋敏"</f>
        <v>李秋敏</v>
      </c>
      <c r="D2674" s="4" t="str">
        <f>"2021022515"</f>
        <v>2021022515</v>
      </c>
      <c r="E2674" s="4" t="str">
        <f t="shared" si="339"/>
        <v>25</v>
      </c>
      <c r="F2674" s="4" t="str">
        <f>"15"</f>
        <v>15</v>
      </c>
      <c r="G2674" s="4" t="s">
        <v>27</v>
      </c>
      <c r="H2674" s="5">
        <v>58.15</v>
      </c>
      <c r="I2674" s="4"/>
      <c r="J2674" s="4">
        <f>SUMPRODUCT(--((A2674=$A$3:$A$2785)*$H$3:$H$2785&gt;H2674))+1</f>
        <v>71</v>
      </c>
    </row>
    <row r="2675" s="1" customFormat="true" customHeight="true" spans="1:10">
      <c r="A2675" s="4" t="str">
        <f t="shared" si="338"/>
        <v>037</v>
      </c>
      <c r="B2675" s="4" t="s">
        <v>49</v>
      </c>
      <c r="C2675" s="4" t="str">
        <f>"王俊洁"</f>
        <v>王俊洁</v>
      </c>
      <c r="D2675" s="4" t="str">
        <f>"2021022101"</f>
        <v>2021022101</v>
      </c>
      <c r="E2675" s="4" t="str">
        <f>"21"</f>
        <v>21</v>
      </c>
      <c r="F2675" s="4" t="str">
        <f>"01"</f>
        <v>01</v>
      </c>
      <c r="G2675" s="4" t="s">
        <v>27</v>
      </c>
      <c r="H2675" s="5">
        <v>57.95</v>
      </c>
      <c r="I2675" s="4"/>
      <c r="J2675" s="4">
        <f>SUMPRODUCT(--((A2675=$A$3:$A$2785)*$H$3:$H$2785&gt;H2675))+1</f>
        <v>72</v>
      </c>
    </row>
    <row r="2676" s="1" customFormat="true" customHeight="true" spans="1:10">
      <c r="A2676" s="4" t="str">
        <f t="shared" si="338"/>
        <v>037</v>
      </c>
      <c r="B2676" s="4" t="s">
        <v>49</v>
      </c>
      <c r="C2676" s="4" t="str">
        <f>"钟雪"</f>
        <v>钟雪</v>
      </c>
      <c r="D2676" s="4" t="str">
        <f>"2021022418"</f>
        <v>2021022418</v>
      </c>
      <c r="E2676" s="4" t="str">
        <f t="shared" ref="E2676:E2680" si="340">"24"</f>
        <v>24</v>
      </c>
      <c r="F2676" s="4" t="str">
        <f>"18"</f>
        <v>18</v>
      </c>
      <c r="G2676" s="4" t="s">
        <v>27</v>
      </c>
      <c r="H2676" s="5">
        <v>57.1</v>
      </c>
      <c r="I2676" s="4"/>
      <c r="J2676" s="4">
        <f>SUMPRODUCT(--((A2676=$A$3:$A$2785)*$H$3:$H$2785&gt;H2676))+1</f>
        <v>73</v>
      </c>
    </row>
    <row r="2677" s="1" customFormat="true" customHeight="true" spans="1:10">
      <c r="A2677" s="4" t="str">
        <f t="shared" si="338"/>
        <v>037</v>
      </c>
      <c r="B2677" s="4" t="s">
        <v>49</v>
      </c>
      <c r="C2677" s="4" t="str">
        <f>"王铃欣"</f>
        <v>王铃欣</v>
      </c>
      <c r="D2677" s="4" t="str">
        <f>"2021022414"</f>
        <v>2021022414</v>
      </c>
      <c r="E2677" s="4" t="str">
        <f t="shared" si="340"/>
        <v>24</v>
      </c>
      <c r="F2677" s="4" t="str">
        <f>"14"</f>
        <v>14</v>
      </c>
      <c r="G2677" s="4" t="s">
        <v>27</v>
      </c>
      <c r="H2677" s="5">
        <v>55.35</v>
      </c>
      <c r="I2677" s="4"/>
      <c r="J2677" s="4">
        <f>SUMPRODUCT(--((A2677=$A$3:$A$2785)*$H$3:$H$2785&gt;H2677))+1</f>
        <v>74</v>
      </c>
    </row>
    <row r="2678" s="1" customFormat="true" ht="15.75" customHeight="true" spans="1:10">
      <c r="A2678" s="4" t="str">
        <f t="shared" si="338"/>
        <v>037</v>
      </c>
      <c r="B2678" s="4" t="s">
        <v>49</v>
      </c>
      <c r="C2678" s="4" t="str">
        <f>"黄欣蕊"</f>
        <v>黄欣蕊</v>
      </c>
      <c r="D2678" s="4" t="str">
        <f>"2021022015"</f>
        <v>2021022015</v>
      </c>
      <c r="E2678" s="4" t="str">
        <f t="shared" ref="E2678:E2688" si="341">"20"</f>
        <v>20</v>
      </c>
      <c r="F2678" s="4" t="str">
        <f>"15"</f>
        <v>15</v>
      </c>
      <c r="G2678" s="4" t="s">
        <v>27</v>
      </c>
      <c r="H2678" s="5">
        <v>53.3</v>
      </c>
      <c r="I2678" s="4"/>
      <c r="J2678" s="4">
        <f>SUMPRODUCT(--((A2678=$A$3:$A$2785)*$H$3:$H$2785&gt;H2678))+1</f>
        <v>75</v>
      </c>
    </row>
    <row r="2679" s="1" customFormat="true" customHeight="true" spans="1:10">
      <c r="A2679" s="4" t="str">
        <f t="shared" si="338"/>
        <v>037</v>
      </c>
      <c r="B2679" s="4" t="s">
        <v>49</v>
      </c>
      <c r="C2679" s="4" t="str">
        <f>"甘妮平"</f>
        <v>甘妮平</v>
      </c>
      <c r="D2679" s="4" t="str">
        <f>"2021022125"</f>
        <v>2021022125</v>
      </c>
      <c r="E2679" s="4" t="str">
        <f>"21"</f>
        <v>21</v>
      </c>
      <c r="F2679" s="4" t="str">
        <f>"25"</f>
        <v>25</v>
      </c>
      <c r="G2679" s="4" t="s">
        <v>27</v>
      </c>
      <c r="H2679" s="5">
        <v>52.15</v>
      </c>
      <c r="I2679" s="4"/>
      <c r="J2679" s="4">
        <f>SUMPRODUCT(--((A2679=$A$3:$A$2785)*$H$3:$H$2785&gt;H2679))+1</f>
        <v>76</v>
      </c>
    </row>
    <row r="2680" s="1" customFormat="true" customHeight="true" spans="1:10">
      <c r="A2680" s="4" t="str">
        <f t="shared" si="338"/>
        <v>037</v>
      </c>
      <c r="B2680" s="4" t="s">
        <v>49</v>
      </c>
      <c r="C2680" s="4" t="str">
        <f>"刘雯倩"</f>
        <v>刘雯倩</v>
      </c>
      <c r="D2680" s="4" t="str">
        <f>"2021022406"</f>
        <v>2021022406</v>
      </c>
      <c r="E2680" s="4" t="str">
        <f t="shared" si="340"/>
        <v>24</v>
      </c>
      <c r="F2680" s="4" t="str">
        <f>"06"</f>
        <v>06</v>
      </c>
      <c r="G2680" s="4" t="s">
        <v>27</v>
      </c>
      <c r="H2680" s="5">
        <v>51.2</v>
      </c>
      <c r="I2680" s="4"/>
      <c r="J2680" s="4">
        <f>SUMPRODUCT(--((A2680=$A$3:$A$2785)*$H$3:$H$2785&gt;H2680))+1</f>
        <v>77</v>
      </c>
    </row>
    <row r="2681" s="1" customFormat="true" customHeight="true" spans="1:10">
      <c r="A2681" s="4" t="str">
        <f t="shared" si="338"/>
        <v>037</v>
      </c>
      <c r="B2681" s="4" t="s">
        <v>49</v>
      </c>
      <c r="C2681" s="4" t="str">
        <f>"肖春华"</f>
        <v>肖春华</v>
      </c>
      <c r="D2681" s="4" t="str">
        <f>"2021022016"</f>
        <v>2021022016</v>
      </c>
      <c r="E2681" s="4" t="str">
        <f t="shared" si="341"/>
        <v>20</v>
      </c>
      <c r="F2681" s="4" t="str">
        <f>"16"</f>
        <v>16</v>
      </c>
      <c r="G2681" s="4" t="s">
        <v>27</v>
      </c>
      <c r="H2681" s="5">
        <v>0</v>
      </c>
      <c r="I2681" s="6" t="s">
        <v>13</v>
      </c>
      <c r="J2681" s="4">
        <f>SUMPRODUCT(--((A2681=$A$3:$A$2785)*$H$3:$H$2785&gt;H2681))+1</f>
        <v>78</v>
      </c>
    </row>
    <row r="2682" s="1" customFormat="true" customHeight="true" spans="1:10">
      <c r="A2682" s="4" t="str">
        <f t="shared" si="338"/>
        <v>037</v>
      </c>
      <c r="B2682" s="4" t="s">
        <v>49</v>
      </c>
      <c r="C2682" s="4" t="str">
        <f>"苏荟淋"</f>
        <v>苏荟淋</v>
      </c>
      <c r="D2682" s="4" t="str">
        <f>"2021022018"</f>
        <v>2021022018</v>
      </c>
      <c r="E2682" s="4" t="str">
        <f t="shared" si="341"/>
        <v>20</v>
      </c>
      <c r="F2682" s="4" t="str">
        <f>"18"</f>
        <v>18</v>
      </c>
      <c r="G2682" s="4" t="s">
        <v>27</v>
      </c>
      <c r="H2682" s="5">
        <v>0</v>
      </c>
      <c r="I2682" s="6" t="s">
        <v>13</v>
      </c>
      <c r="J2682" s="4">
        <f>SUMPRODUCT(--((A2682=$A$3:$A$2785)*$H$3:$H$2785&gt;H2682))+1</f>
        <v>78</v>
      </c>
    </row>
    <row r="2683" s="1" customFormat="true" customHeight="true" spans="1:10">
      <c r="A2683" s="4" t="str">
        <f t="shared" si="338"/>
        <v>037</v>
      </c>
      <c r="B2683" s="4" t="s">
        <v>49</v>
      </c>
      <c r="C2683" s="4" t="str">
        <f>"杨凤"</f>
        <v>杨凤</v>
      </c>
      <c r="D2683" s="4" t="str">
        <f>"2021022020"</f>
        <v>2021022020</v>
      </c>
      <c r="E2683" s="4" t="str">
        <f t="shared" si="341"/>
        <v>20</v>
      </c>
      <c r="F2683" s="4" t="str">
        <f>"20"</f>
        <v>20</v>
      </c>
      <c r="G2683" s="4" t="s">
        <v>27</v>
      </c>
      <c r="H2683" s="5">
        <v>0</v>
      </c>
      <c r="I2683" s="6" t="s">
        <v>13</v>
      </c>
      <c r="J2683" s="4">
        <f>SUMPRODUCT(--((A2683=$A$3:$A$2785)*$H$3:$H$2785&gt;H2683))+1</f>
        <v>78</v>
      </c>
    </row>
    <row r="2684" s="1" customFormat="true" customHeight="true" spans="1:10">
      <c r="A2684" s="4" t="str">
        <f t="shared" si="338"/>
        <v>037</v>
      </c>
      <c r="B2684" s="4" t="s">
        <v>49</v>
      </c>
      <c r="C2684" s="4" t="str">
        <f>"张玉蓉"</f>
        <v>张玉蓉</v>
      </c>
      <c r="D2684" s="4" t="str">
        <f>"2021022025"</f>
        <v>2021022025</v>
      </c>
      <c r="E2684" s="4" t="str">
        <f t="shared" si="341"/>
        <v>20</v>
      </c>
      <c r="F2684" s="4" t="str">
        <f>"25"</f>
        <v>25</v>
      </c>
      <c r="G2684" s="4" t="s">
        <v>27</v>
      </c>
      <c r="H2684" s="5">
        <v>0</v>
      </c>
      <c r="I2684" s="6" t="s">
        <v>13</v>
      </c>
      <c r="J2684" s="4">
        <f>SUMPRODUCT(--((A2684=$A$3:$A$2785)*$H$3:$H$2785&gt;H2684))+1</f>
        <v>78</v>
      </c>
    </row>
    <row r="2685" s="1" customFormat="true" customHeight="true" spans="1:10">
      <c r="A2685" s="4" t="str">
        <f t="shared" si="338"/>
        <v>037</v>
      </c>
      <c r="B2685" s="4" t="s">
        <v>49</v>
      </c>
      <c r="C2685" s="4" t="str">
        <f>"向小弦"</f>
        <v>向小弦</v>
      </c>
      <c r="D2685" s="4" t="str">
        <f>"2021022027"</f>
        <v>2021022027</v>
      </c>
      <c r="E2685" s="4" t="str">
        <f t="shared" si="341"/>
        <v>20</v>
      </c>
      <c r="F2685" s="4" t="str">
        <f>"27"</f>
        <v>27</v>
      </c>
      <c r="G2685" s="4" t="s">
        <v>27</v>
      </c>
      <c r="H2685" s="5">
        <v>0</v>
      </c>
      <c r="I2685" s="6" t="s">
        <v>13</v>
      </c>
      <c r="J2685" s="4">
        <f>SUMPRODUCT(--((A2685=$A$3:$A$2785)*$H$3:$H$2785&gt;H2685))+1</f>
        <v>78</v>
      </c>
    </row>
    <row r="2686" s="1" customFormat="true" customHeight="true" spans="1:10">
      <c r="A2686" s="4" t="str">
        <f t="shared" si="338"/>
        <v>037</v>
      </c>
      <c r="B2686" s="4" t="s">
        <v>49</v>
      </c>
      <c r="C2686" s="4" t="str">
        <f>"杨柳青"</f>
        <v>杨柳青</v>
      </c>
      <c r="D2686" s="4" t="str">
        <f>"2021022028"</f>
        <v>2021022028</v>
      </c>
      <c r="E2686" s="4" t="str">
        <f t="shared" si="341"/>
        <v>20</v>
      </c>
      <c r="F2686" s="4" t="str">
        <f>"28"</f>
        <v>28</v>
      </c>
      <c r="G2686" s="4" t="s">
        <v>27</v>
      </c>
      <c r="H2686" s="5">
        <v>0</v>
      </c>
      <c r="I2686" s="6" t="s">
        <v>13</v>
      </c>
      <c r="J2686" s="4">
        <f>SUMPRODUCT(--((A2686=$A$3:$A$2785)*$H$3:$H$2785&gt;H2686))+1</f>
        <v>78</v>
      </c>
    </row>
    <row r="2687" s="1" customFormat="true" customHeight="true" spans="1:10">
      <c r="A2687" s="4" t="str">
        <f t="shared" si="338"/>
        <v>037</v>
      </c>
      <c r="B2687" s="4" t="s">
        <v>49</v>
      </c>
      <c r="C2687" s="4" t="str">
        <f>"向红霞"</f>
        <v>向红霞</v>
      </c>
      <c r="D2687" s="4" t="str">
        <f>"2021022029"</f>
        <v>2021022029</v>
      </c>
      <c r="E2687" s="4" t="str">
        <f t="shared" si="341"/>
        <v>20</v>
      </c>
      <c r="F2687" s="4" t="str">
        <f>"29"</f>
        <v>29</v>
      </c>
      <c r="G2687" s="4" t="s">
        <v>27</v>
      </c>
      <c r="H2687" s="5">
        <v>0</v>
      </c>
      <c r="I2687" s="6" t="s">
        <v>13</v>
      </c>
      <c r="J2687" s="4">
        <f>SUMPRODUCT(--((A2687=$A$3:$A$2785)*$H$3:$H$2785&gt;H2687))+1</f>
        <v>78</v>
      </c>
    </row>
    <row r="2688" s="1" customFormat="true" customHeight="true" spans="1:10">
      <c r="A2688" s="4" t="str">
        <f t="shared" si="338"/>
        <v>037</v>
      </c>
      <c r="B2688" s="4" t="s">
        <v>49</v>
      </c>
      <c r="C2688" s="4" t="str">
        <f>"蔡国敏"</f>
        <v>蔡国敏</v>
      </c>
      <c r="D2688" s="4" t="str">
        <f>"2021022030"</f>
        <v>2021022030</v>
      </c>
      <c r="E2688" s="4" t="str">
        <f t="shared" si="341"/>
        <v>20</v>
      </c>
      <c r="F2688" s="4" t="str">
        <f>"30"</f>
        <v>30</v>
      </c>
      <c r="G2688" s="4" t="s">
        <v>27</v>
      </c>
      <c r="H2688" s="5">
        <v>0</v>
      </c>
      <c r="I2688" s="6" t="s">
        <v>13</v>
      </c>
      <c r="J2688" s="4">
        <f>SUMPRODUCT(--((A2688=$A$3:$A$2785)*$H$3:$H$2785&gt;H2688))+1</f>
        <v>78</v>
      </c>
    </row>
    <row r="2689" s="1" customFormat="true" customHeight="true" spans="1:10">
      <c r="A2689" s="4" t="str">
        <f t="shared" si="338"/>
        <v>037</v>
      </c>
      <c r="B2689" s="4" t="s">
        <v>49</v>
      </c>
      <c r="C2689" s="4" t="str">
        <f>"张珍妮"</f>
        <v>张珍妮</v>
      </c>
      <c r="D2689" s="4" t="str">
        <f>"2021022102"</f>
        <v>2021022102</v>
      </c>
      <c r="E2689" s="4" t="str">
        <f t="shared" ref="E2689:E2701" si="342">"21"</f>
        <v>21</v>
      </c>
      <c r="F2689" s="4" t="str">
        <f>"02"</f>
        <v>02</v>
      </c>
      <c r="G2689" s="4" t="s">
        <v>27</v>
      </c>
      <c r="H2689" s="5">
        <v>0</v>
      </c>
      <c r="I2689" s="6" t="s">
        <v>13</v>
      </c>
      <c r="J2689" s="4">
        <f>SUMPRODUCT(--((A2689=$A$3:$A$2785)*$H$3:$H$2785&gt;H2689))+1</f>
        <v>78</v>
      </c>
    </row>
    <row r="2690" s="1" customFormat="true" customHeight="true" spans="1:10">
      <c r="A2690" s="4" t="str">
        <f t="shared" si="338"/>
        <v>037</v>
      </c>
      <c r="B2690" s="4" t="s">
        <v>49</v>
      </c>
      <c r="C2690" s="4" t="str">
        <f>"张前芳"</f>
        <v>张前芳</v>
      </c>
      <c r="D2690" s="4" t="str">
        <f>"2021022107"</f>
        <v>2021022107</v>
      </c>
      <c r="E2690" s="4" t="str">
        <f t="shared" si="342"/>
        <v>21</v>
      </c>
      <c r="F2690" s="4" t="str">
        <f>"07"</f>
        <v>07</v>
      </c>
      <c r="G2690" s="4" t="s">
        <v>27</v>
      </c>
      <c r="H2690" s="5">
        <v>0</v>
      </c>
      <c r="I2690" s="6" t="s">
        <v>13</v>
      </c>
      <c r="J2690" s="4">
        <f>SUMPRODUCT(--((A2690=$A$3:$A$2785)*$H$3:$H$2785&gt;H2690))+1</f>
        <v>78</v>
      </c>
    </row>
    <row r="2691" s="1" customFormat="true" customHeight="true" spans="1:10">
      <c r="A2691" s="4" t="str">
        <f t="shared" si="338"/>
        <v>037</v>
      </c>
      <c r="B2691" s="4" t="s">
        <v>49</v>
      </c>
      <c r="C2691" s="4" t="str">
        <f>"谌薇"</f>
        <v>谌薇</v>
      </c>
      <c r="D2691" s="4" t="str">
        <f>"2021022108"</f>
        <v>2021022108</v>
      </c>
      <c r="E2691" s="4" t="str">
        <f t="shared" si="342"/>
        <v>21</v>
      </c>
      <c r="F2691" s="4" t="str">
        <f>"08"</f>
        <v>08</v>
      </c>
      <c r="G2691" s="4" t="s">
        <v>27</v>
      </c>
      <c r="H2691" s="5">
        <v>0</v>
      </c>
      <c r="I2691" s="6" t="s">
        <v>13</v>
      </c>
      <c r="J2691" s="4">
        <f>SUMPRODUCT(--((A2691=$A$3:$A$2785)*$H$3:$H$2785&gt;H2691))+1</f>
        <v>78</v>
      </c>
    </row>
    <row r="2692" s="1" customFormat="true" customHeight="true" spans="1:10">
      <c r="A2692" s="4" t="str">
        <f t="shared" si="338"/>
        <v>037</v>
      </c>
      <c r="B2692" s="4" t="s">
        <v>49</v>
      </c>
      <c r="C2692" s="4" t="str">
        <f>"刘睿妍"</f>
        <v>刘睿妍</v>
      </c>
      <c r="D2692" s="4" t="str">
        <f>"2021022109"</f>
        <v>2021022109</v>
      </c>
      <c r="E2692" s="4" t="str">
        <f t="shared" si="342"/>
        <v>21</v>
      </c>
      <c r="F2692" s="4" t="str">
        <f>"09"</f>
        <v>09</v>
      </c>
      <c r="G2692" s="4" t="s">
        <v>27</v>
      </c>
      <c r="H2692" s="5">
        <v>0</v>
      </c>
      <c r="I2692" s="6" t="s">
        <v>13</v>
      </c>
      <c r="J2692" s="4">
        <f>SUMPRODUCT(--((A2692=$A$3:$A$2785)*$H$3:$H$2785&gt;H2692))+1</f>
        <v>78</v>
      </c>
    </row>
    <row r="2693" s="1" customFormat="true" customHeight="true" spans="1:10">
      <c r="A2693" s="4" t="str">
        <f t="shared" si="338"/>
        <v>037</v>
      </c>
      <c r="B2693" s="4" t="s">
        <v>49</v>
      </c>
      <c r="C2693" s="4" t="str">
        <f>"吴娟"</f>
        <v>吴娟</v>
      </c>
      <c r="D2693" s="4" t="str">
        <f>"2021022111"</f>
        <v>2021022111</v>
      </c>
      <c r="E2693" s="4" t="str">
        <f t="shared" si="342"/>
        <v>21</v>
      </c>
      <c r="F2693" s="4" t="str">
        <f>"11"</f>
        <v>11</v>
      </c>
      <c r="G2693" s="4" t="s">
        <v>27</v>
      </c>
      <c r="H2693" s="5">
        <v>0</v>
      </c>
      <c r="I2693" s="6" t="s">
        <v>13</v>
      </c>
      <c r="J2693" s="4">
        <f>SUMPRODUCT(--((A2693=$A$3:$A$2785)*$H$3:$H$2785&gt;H2693))+1</f>
        <v>78</v>
      </c>
    </row>
    <row r="2694" s="1" customFormat="true" customHeight="true" spans="1:10">
      <c r="A2694" s="4" t="str">
        <f t="shared" si="338"/>
        <v>037</v>
      </c>
      <c r="B2694" s="4" t="s">
        <v>49</v>
      </c>
      <c r="C2694" s="4" t="str">
        <f>"吴清"</f>
        <v>吴清</v>
      </c>
      <c r="D2694" s="4" t="str">
        <f>"2021022113"</f>
        <v>2021022113</v>
      </c>
      <c r="E2694" s="4" t="str">
        <f t="shared" si="342"/>
        <v>21</v>
      </c>
      <c r="F2694" s="4" t="str">
        <f>"13"</f>
        <v>13</v>
      </c>
      <c r="G2694" s="4" t="s">
        <v>27</v>
      </c>
      <c r="H2694" s="5">
        <v>0</v>
      </c>
      <c r="I2694" s="6" t="s">
        <v>13</v>
      </c>
      <c r="J2694" s="4">
        <f>SUMPRODUCT(--((A2694=$A$3:$A$2785)*$H$3:$H$2785&gt;H2694))+1</f>
        <v>78</v>
      </c>
    </row>
    <row r="2695" s="1" customFormat="true" customHeight="true" spans="1:10">
      <c r="A2695" s="4" t="str">
        <f t="shared" si="338"/>
        <v>037</v>
      </c>
      <c r="B2695" s="4" t="s">
        <v>49</v>
      </c>
      <c r="C2695" s="4" t="str">
        <f>"张梦院"</f>
        <v>张梦院</v>
      </c>
      <c r="D2695" s="4" t="str">
        <f>"2021022114"</f>
        <v>2021022114</v>
      </c>
      <c r="E2695" s="4" t="str">
        <f t="shared" si="342"/>
        <v>21</v>
      </c>
      <c r="F2695" s="4" t="str">
        <f>"14"</f>
        <v>14</v>
      </c>
      <c r="G2695" s="4" t="s">
        <v>27</v>
      </c>
      <c r="H2695" s="5">
        <v>0</v>
      </c>
      <c r="I2695" s="6" t="s">
        <v>13</v>
      </c>
      <c r="J2695" s="4">
        <f>SUMPRODUCT(--((A2695=$A$3:$A$2785)*$H$3:$H$2785&gt;H2695))+1</f>
        <v>78</v>
      </c>
    </row>
    <row r="2696" s="1" customFormat="true" customHeight="true" spans="1:10">
      <c r="A2696" s="4" t="str">
        <f t="shared" si="338"/>
        <v>037</v>
      </c>
      <c r="B2696" s="4" t="s">
        <v>49</v>
      </c>
      <c r="C2696" s="4" t="str">
        <f>"尹梦兰"</f>
        <v>尹梦兰</v>
      </c>
      <c r="D2696" s="4" t="str">
        <f>"2021022115"</f>
        <v>2021022115</v>
      </c>
      <c r="E2696" s="4" t="str">
        <f t="shared" si="342"/>
        <v>21</v>
      </c>
      <c r="F2696" s="4" t="str">
        <f>"15"</f>
        <v>15</v>
      </c>
      <c r="G2696" s="4" t="s">
        <v>27</v>
      </c>
      <c r="H2696" s="5">
        <v>0</v>
      </c>
      <c r="I2696" s="6" t="s">
        <v>13</v>
      </c>
      <c r="J2696" s="4">
        <f>SUMPRODUCT(--((A2696=$A$3:$A$2785)*$H$3:$H$2785&gt;H2696))+1</f>
        <v>78</v>
      </c>
    </row>
    <row r="2697" s="1" customFormat="true" customHeight="true" spans="1:10">
      <c r="A2697" s="4" t="str">
        <f t="shared" si="338"/>
        <v>037</v>
      </c>
      <c r="B2697" s="4" t="s">
        <v>49</v>
      </c>
      <c r="C2697" s="4" t="str">
        <f>"覃蕾"</f>
        <v>覃蕾</v>
      </c>
      <c r="D2697" s="4" t="str">
        <f>"2021022119"</f>
        <v>2021022119</v>
      </c>
      <c r="E2697" s="4" t="str">
        <f t="shared" si="342"/>
        <v>21</v>
      </c>
      <c r="F2697" s="4" t="str">
        <f>"19"</f>
        <v>19</v>
      </c>
      <c r="G2697" s="4" t="s">
        <v>27</v>
      </c>
      <c r="H2697" s="5">
        <v>0</v>
      </c>
      <c r="I2697" s="6" t="s">
        <v>13</v>
      </c>
      <c r="J2697" s="4">
        <f>SUMPRODUCT(--((A2697=$A$3:$A$2785)*$H$3:$H$2785&gt;H2697))+1</f>
        <v>78</v>
      </c>
    </row>
    <row r="2698" s="1" customFormat="true" customHeight="true" spans="1:10">
      <c r="A2698" s="4" t="str">
        <f t="shared" si="338"/>
        <v>037</v>
      </c>
      <c r="B2698" s="4" t="s">
        <v>49</v>
      </c>
      <c r="C2698" s="4" t="str">
        <f>"向利霞"</f>
        <v>向利霞</v>
      </c>
      <c r="D2698" s="4" t="str">
        <f>"2021022123"</f>
        <v>2021022123</v>
      </c>
      <c r="E2698" s="4" t="str">
        <f t="shared" si="342"/>
        <v>21</v>
      </c>
      <c r="F2698" s="4" t="str">
        <f>"23"</f>
        <v>23</v>
      </c>
      <c r="G2698" s="4" t="s">
        <v>27</v>
      </c>
      <c r="H2698" s="5">
        <v>0</v>
      </c>
      <c r="I2698" s="6" t="s">
        <v>13</v>
      </c>
      <c r="J2698" s="4">
        <f>SUMPRODUCT(--((A2698=$A$3:$A$2785)*$H$3:$H$2785&gt;H2698))+1</f>
        <v>78</v>
      </c>
    </row>
    <row r="2699" s="1" customFormat="true" customHeight="true" spans="1:10">
      <c r="A2699" s="4" t="str">
        <f t="shared" si="338"/>
        <v>037</v>
      </c>
      <c r="B2699" s="4" t="s">
        <v>49</v>
      </c>
      <c r="C2699" s="4" t="str">
        <f>"张芬"</f>
        <v>张芬</v>
      </c>
      <c r="D2699" s="4" t="str">
        <f>"2021022124"</f>
        <v>2021022124</v>
      </c>
      <c r="E2699" s="4" t="str">
        <f t="shared" si="342"/>
        <v>21</v>
      </c>
      <c r="F2699" s="4" t="str">
        <f>"24"</f>
        <v>24</v>
      </c>
      <c r="G2699" s="4" t="s">
        <v>27</v>
      </c>
      <c r="H2699" s="5">
        <v>0</v>
      </c>
      <c r="I2699" s="6" t="s">
        <v>13</v>
      </c>
      <c r="J2699" s="4">
        <f>SUMPRODUCT(--((A2699=$A$3:$A$2785)*$H$3:$H$2785&gt;H2699))+1</f>
        <v>78</v>
      </c>
    </row>
    <row r="2700" s="1" customFormat="true" customHeight="true" spans="1:10">
      <c r="A2700" s="4" t="str">
        <f t="shared" si="338"/>
        <v>037</v>
      </c>
      <c r="B2700" s="4" t="s">
        <v>49</v>
      </c>
      <c r="C2700" s="4" t="str">
        <f>"粟梦霞"</f>
        <v>粟梦霞</v>
      </c>
      <c r="D2700" s="4" t="str">
        <f>"2021022127"</f>
        <v>2021022127</v>
      </c>
      <c r="E2700" s="4" t="str">
        <f t="shared" si="342"/>
        <v>21</v>
      </c>
      <c r="F2700" s="4" t="str">
        <f>"27"</f>
        <v>27</v>
      </c>
      <c r="G2700" s="4" t="s">
        <v>27</v>
      </c>
      <c r="H2700" s="5">
        <v>0</v>
      </c>
      <c r="I2700" s="6" t="s">
        <v>13</v>
      </c>
      <c r="J2700" s="4">
        <f>SUMPRODUCT(--((A2700=$A$3:$A$2785)*$H$3:$H$2785&gt;H2700))+1</f>
        <v>78</v>
      </c>
    </row>
    <row r="2701" s="1" customFormat="true" customHeight="true" spans="1:10">
      <c r="A2701" s="4" t="str">
        <f t="shared" si="338"/>
        <v>037</v>
      </c>
      <c r="B2701" s="4" t="s">
        <v>49</v>
      </c>
      <c r="C2701" s="4" t="str">
        <f>"张婷"</f>
        <v>张婷</v>
      </c>
      <c r="D2701" s="4" t="str">
        <f>"2021022130"</f>
        <v>2021022130</v>
      </c>
      <c r="E2701" s="4" t="str">
        <f t="shared" si="342"/>
        <v>21</v>
      </c>
      <c r="F2701" s="4" t="str">
        <f>"30"</f>
        <v>30</v>
      </c>
      <c r="G2701" s="4" t="s">
        <v>27</v>
      </c>
      <c r="H2701" s="5">
        <v>0</v>
      </c>
      <c r="I2701" s="6" t="s">
        <v>13</v>
      </c>
      <c r="J2701" s="4">
        <f>SUMPRODUCT(--((A2701=$A$3:$A$2785)*$H$3:$H$2785&gt;H2701))+1</f>
        <v>78</v>
      </c>
    </row>
    <row r="2702" s="1" customFormat="true" customHeight="true" spans="1:10">
      <c r="A2702" s="4" t="str">
        <f t="shared" si="338"/>
        <v>037</v>
      </c>
      <c r="B2702" s="4" t="s">
        <v>49</v>
      </c>
      <c r="C2702" s="4" t="str">
        <f>"易玮"</f>
        <v>易玮</v>
      </c>
      <c r="D2702" s="4" t="str">
        <f>"2021022201"</f>
        <v>2021022201</v>
      </c>
      <c r="E2702" s="4" t="str">
        <f t="shared" ref="E2702:E2718" si="343">"22"</f>
        <v>22</v>
      </c>
      <c r="F2702" s="4" t="str">
        <f>"01"</f>
        <v>01</v>
      </c>
      <c r="G2702" s="4" t="s">
        <v>27</v>
      </c>
      <c r="H2702" s="5">
        <v>0</v>
      </c>
      <c r="I2702" s="6" t="s">
        <v>13</v>
      </c>
      <c r="J2702" s="4">
        <f>SUMPRODUCT(--((A2702=$A$3:$A$2785)*$H$3:$H$2785&gt;H2702))+1</f>
        <v>78</v>
      </c>
    </row>
    <row r="2703" s="1" customFormat="true" customHeight="true" spans="1:10">
      <c r="A2703" s="4" t="str">
        <f t="shared" si="338"/>
        <v>037</v>
      </c>
      <c r="B2703" s="4" t="s">
        <v>49</v>
      </c>
      <c r="C2703" s="4" t="str">
        <f>"黄秋云"</f>
        <v>黄秋云</v>
      </c>
      <c r="D2703" s="4" t="str">
        <f>"2021022202"</f>
        <v>2021022202</v>
      </c>
      <c r="E2703" s="4" t="str">
        <f t="shared" si="343"/>
        <v>22</v>
      </c>
      <c r="F2703" s="4" t="str">
        <f>"02"</f>
        <v>02</v>
      </c>
      <c r="G2703" s="4" t="s">
        <v>27</v>
      </c>
      <c r="H2703" s="5">
        <v>0</v>
      </c>
      <c r="I2703" s="6" t="s">
        <v>13</v>
      </c>
      <c r="J2703" s="4">
        <f>SUMPRODUCT(--((A2703=$A$3:$A$2785)*$H$3:$H$2785&gt;H2703))+1</f>
        <v>78</v>
      </c>
    </row>
    <row r="2704" s="1" customFormat="true" customHeight="true" spans="1:10">
      <c r="A2704" s="4" t="str">
        <f t="shared" si="338"/>
        <v>037</v>
      </c>
      <c r="B2704" s="4" t="s">
        <v>49</v>
      </c>
      <c r="C2704" s="4" t="str">
        <f>"田斐然"</f>
        <v>田斐然</v>
      </c>
      <c r="D2704" s="4" t="str">
        <f>"2021022207"</f>
        <v>2021022207</v>
      </c>
      <c r="E2704" s="4" t="str">
        <f t="shared" si="343"/>
        <v>22</v>
      </c>
      <c r="F2704" s="4" t="str">
        <f>"07"</f>
        <v>07</v>
      </c>
      <c r="G2704" s="4" t="s">
        <v>27</v>
      </c>
      <c r="H2704" s="5">
        <v>0</v>
      </c>
      <c r="I2704" s="6" t="s">
        <v>13</v>
      </c>
      <c r="J2704" s="4">
        <f>SUMPRODUCT(--((A2704=$A$3:$A$2785)*$H$3:$H$2785&gt;H2704))+1</f>
        <v>78</v>
      </c>
    </row>
    <row r="2705" s="1" customFormat="true" customHeight="true" spans="1:10">
      <c r="A2705" s="4" t="str">
        <f t="shared" si="338"/>
        <v>037</v>
      </c>
      <c r="B2705" s="4" t="s">
        <v>49</v>
      </c>
      <c r="C2705" s="4" t="str">
        <f>"王倩倩"</f>
        <v>王倩倩</v>
      </c>
      <c r="D2705" s="4" t="str">
        <f>"2021022208"</f>
        <v>2021022208</v>
      </c>
      <c r="E2705" s="4" t="str">
        <f t="shared" si="343"/>
        <v>22</v>
      </c>
      <c r="F2705" s="4" t="str">
        <f>"08"</f>
        <v>08</v>
      </c>
      <c r="G2705" s="4" t="s">
        <v>27</v>
      </c>
      <c r="H2705" s="5">
        <v>0</v>
      </c>
      <c r="I2705" s="6" t="s">
        <v>13</v>
      </c>
      <c r="J2705" s="4">
        <f>SUMPRODUCT(--((A2705=$A$3:$A$2785)*$H$3:$H$2785&gt;H2705))+1</f>
        <v>78</v>
      </c>
    </row>
    <row r="2706" s="1" customFormat="true" customHeight="true" spans="1:10">
      <c r="A2706" s="4" t="str">
        <f t="shared" si="338"/>
        <v>037</v>
      </c>
      <c r="B2706" s="4" t="s">
        <v>49</v>
      </c>
      <c r="C2706" s="4" t="str">
        <f>"朱媛丹"</f>
        <v>朱媛丹</v>
      </c>
      <c r="D2706" s="4" t="str">
        <f>"2021022210"</f>
        <v>2021022210</v>
      </c>
      <c r="E2706" s="4" t="str">
        <f t="shared" si="343"/>
        <v>22</v>
      </c>
      <c r="F2706" s="4" t="str">
        <f>"10"</f>
        <v>10</v>
      </c>
      <c r="G2706" s="4" t="s">
        <v>27</v>
      </c>
      <c r="H2706" s="5">
        <v>0</v>
      </c>
      <c r="I2706" s="6" t="s">
        <v>13</v>
      </c>
      <c r="J2706" s="4">
        <f>SUMPRODUCT(--((A2706=$A$3:$A$2785)*$H$3:$H$2785&gt;H2706))+1</f>
        <v>78</v>
      </c>
    </row>
    <row r="2707" s="1" customFormat="true" customHeight="true" spans="1:10">
      <c r="A2707" s="4" t="str">
        <f t="shared" si="338"/>
        <v>037</v>
      </c>
      <c r="B2707" s="4" t="s">
        <v>49</v>
      </c>
      <c r="C2707" s="4" t="str">
        <f>"吴心茹"</f>
        <v>吴心茹</v>
      </c>
      <c r="D2707" s="4" t="str">
        <f>"2021022211"</f>
        <v>2021022211</v>
      </c>
      <c r="E2707" s="4" t="str">
        <f t="shared" si="343"/>
        <v>22</v>
      </c>
      <c r="F2707" s="4" t="str">
        <f>"11"</f>
        <v>11</v>
      </c>
      <c r="G2707" s="4" t="s">
        <v>27</v>
      </c>
      <c r="H2707" s="5">
        <v>0</v>
      </c>
      <c r="I2707" s="6" t="s">
        <v>13</v>
      </c>
      <c r="J2707" s="4">
        <f>SUMPRODUCT(--((A2707=$A$3:$A$2785)*$H$3:$H$2785&gt;H2707))+1</f>
        <v>78</v>
      </c>
    </row>
    <row r="2708" s="1" customFormat="true" customHeight="true" spans="1:10">
      <c r="A2708" s="4" t="str">
        <f t="shared" si="338"/>
        <v>037</v>
      </c>
      <c r="B2708" s="4" t="s">
        <v>49</v>
      </c>
      <c r="C2708" s="4" t="str">
        <f>"杨曼维"</f>
        <v>杨曼维</v>
      </c>
      <c r="D2708" s="4" t="str">
        <f>"2021022213"</f>
        <v>2021022213</v>
      </c>
      <c r="E2708" s="4" t="str">
        <f t="shared" si="343"/>
        <v>22</v>
      </c>
      <c r="F2708" s="4" t="str">
        <f>"13"</f>
        <v>13</v>
      </c>
      <c r="G2708" s="4" t="s">
        <v>27</v>
      </c>
      <c r="H2708" s="5">
        <v>0</v>
      </c>
      <c r="I2708" s="6" t="s">
        <v>13</v>
      </c>
      <c r="J2708" s="4">
        <f>SUMPRODUCT(--((A2708=$A$3:$A$2785)*$H$3:$H$2785&gt;H2708))+1</f>
        <v>78</v>
      </c>
    </row>
    <row r="2709" s="1" customFormat="true" customHeight="true" spans="1:10">
      <c r="A2709" s="4" t="str">
        <f t="shared" si="338"/>
        <v>037</v>
      </c>
      <c r="B2709" s="4" t="s">
        <v>49</v>
      </c>
      <c r="C2709" s="4" t="str">
        <f>"周明军"</f>
        <v>周明军</v>
      </c>
      <c r="D2709" s="4" t="str">
        <f>"2021022215"</f>
        <v>2021022215</v>
      </c>
      <c r="E2709" s="4" t="str">
        <f t="shared" si="343"/>
        <v>22</v>
      </c>
      <c r="F2709" s="4" t="str">
        <f>"15"</f>
        <v>15</v>
      </c>
      <c r="G2709" s="4" t="s">
        <v>27</v>
      </c>
      <c r="H2709" s="5">
        <v>0</v>
      </c>
      <c r="I2709" s="6" t="s">
        <v>13</v>
      </c>
      <c r="J2709" s="4">
        <f>SUMPRODUCT(--((A2709=$A$3:$A$2785)*$H$3:$H$2785&gt;H2709))+1</f>
        <v>78</v>
      </c>
    </row>
    <row r="2710" s="1" customFormat="true" customHeight="true" spans="1:10">
      <c r="A2710" s="4" t="str">
        <f t="shared" si="338"/>
        <v>037</v>
      </c>
      <c r="B2710" s="4" t="s">
        <v>49</v>
      </c>
      <c r="C2710" s="4" t="str">
        <f>"侯艳芳"</f>
        <v>侯艳芳</v>
      </c>
      <c r="D2710" s="4" t="str">
        <f>"2021022217"</f>
        <v>2021022217</v>
      </c>
      <c r="E2710" s="4" t="str">
        <f t="shared" si="343"/>
        <v>22</v>
      </c>
      <c r="F2710" s="4" t="str">
        <f>"17"</f>
        <v>17</v>
      </c>
      <c r="G2710" s="4" t="s">
        <v>27</v>
      </c>
      <c r="H2710" s="5">
        <v>0</v>
      </c>
      <c r="I2710" s="6" t="s">
        <v>13</v>
      </c>
      <c r="J2710" s="4">
        <f>SUMPRODUCT(--((A2710=$A$3:$A$2785)*$H$3:$H$2785&gt;H2710))+1</f>
        <v>78</v>
      </c>
    </row>
    <row r="2711" s="1" customFormat="true" customHeight="true" spans="1:10">
      <c r="A2711" s="4" t="str">
        <f t="shared" si="338"/>
        <v>037</v>
      </c>
      <c r="B2711" s="4" t="s">
        <v>49</v>
      </c>
      <c r="C2711" s="4" t="str">
        <f>"张永英"</f>
        <v>张永英</v>
      </c>
      <c r="D2711" s="4" t="str">
        <f>"2021022218"</f>
        <v>2021022218</v>
      </c>
      <c r="E2711" s="4" t="str">
        <f t="shared" si="343"/>
        <v>22</v>
      </c>
      <c r="F2711" s="4" t="str">
        <f>"18"</f>
        <v>18</v>
      </c>
      <c r="G2711" s="4" t="s">
        <v>27</v>
      </c>
      <c r="H2711" s="5">
        <v>0</v>
      </c>
      <c r="I2711" s="6" t="s">
        <v>13</v>
      </c>
      <c r="J2711" s="4">
        <f>SUMPRODUCT(--((A2711=$A$3:$A$2785)*$H$3:$H$2785&gt;H2711))+1</f>
        <v>78</v>
      </c>
    </row>
    <row r="2712" s="1" customFormat="true" customHeight="true" spans="1:10">
      <c r="A2712" s="4" t="str">
        <f t="shared" si="338"/>
        <v>037</v>
      </c>
      <c r="B2712" s="4" t="s">
        <v>49</v>
      </c>
      <c r="C2712" s="4" t="str">
        <f>"蒋玲艳"</f>
        <v>蒋玲艳</v>
      </c>
      <c r="D2712" s="4" t="str">
        <f>"2021022222"</f>
        <v>2021022222</v>
      </c>
      <c r="E2712" s="4" t="str">
        <f t="shared" si="343"/>
        <v>22</v>
      </c>
      <c r="F2712" s="4" t="str">
        <f>"22"</f>
        <v>22</v>
      </c>
      <c r="G2712" s="4" t="s">
        <v>27</v>
      </c>
      <c r="H2712" s="5">
        <v>0</v>
      </c>
      <c r="I2712" s="6" t="s">
        <v>13</v>
      </c>
      <c r="J2712" s="4">
        <f>SUMPRODUCT(--((A2712=$A$3:$A$2785)*$H$3:$H$2785&gt;H2712))+1</f>
        <v>78</v>
      </c>
    </row>
    <row r="2713" s="1" customFormat="true" customHeight="true" spans="1:10">
      <c r="A2713" s="4" t="str">
        <f t="shared" si="338"/>
        <v>037</v>
      </c>
      <c r="B2713" s="4" t="s">
        <v>49</v>
      </c>
      <c r="C2713" s="4" t="str">
        <f>"杨咏永"</f>
        <v>杨咏永</v>
      </c>
      <c r="D2713" s="4" t="str">
        <f>"2021022223"</f>
        <v>2021022223</v>
      </c>
      <c r="E2713" s="4" t="str">
        <f t="shared" si="343"/>
        <v>22</v>
      </c>
      <c r="F2713" s="4" t="str">
        <f>"23"</f>
        <v>23</v>
      </c>
      <c r="G2713" s="4" t="s">
        <v>27</v>
      </c>
      <c r="H2713" s="5">
        <v>0</v>
      </c>
      <c r="I2713" s="6" t="s">
        <v>13</v>
      </c>
      <c r="J2713" s="4">
        <f>SUMPRODUCT(--((A2713=$A$3:$A$2785)*$H$3:$H$2785&gt;H2713))+1</f>
        <v>78</v>
      </c>
    </row>
    <row r="2714" s="1" customFormat="true" customHeight="true" spans="1:10">
      <c r="A2714" s="4" t="str">
        <f t="shared" si="338"/>
        <v>037</v>
      </c>
      <c r="B2714" s="4" t="s">
        <v>49</v>
      </c>
      <c r="C2714" s="4" t="str">
        <f>"蒲鑫"</f>
        <v>蒲鑫</v>
      </c>
      <c r="D2714" s="4" t="str">
        <f>"2021022224"</f>
        <v>2021022224</v>
      </c>
      <c r="E2714" s="4" t="str">
        <f t="shared" si="343"/>
        <v>22</v>
      </c>
      <c r="F2714" s="4" t="str">
        <f>"24"</f>
        <v>24</v>
      </c>
      <c r="G2714" s="4" t="s">
        <v>27</v>
      </c>
      <c r="H2714" s="5">
        <v>0</v>
      </c>
      <c r="I2714" s="6" t="s">
        <v>13</v>
      </c>
      <c r="J2714" s="4">
        <f>SUMPRODUCT(--((A2714=$A$3:$A$2785)*$H$3:$H$2785&gt;H2714))+1</f>
        <v>78</v>
      </c>
    </row>
    <row r="2715" s="1" customFormat="true" customHeight="true" spans="1:10">
      <c r="A2715" s="4" t="str">
        <f t="shared" si="338"/>
        <v>037</v>
      </c>
      <c r="B2715" s="4" t="s">
        <v>49</v>
      </c>
      <c r="C2715" s="4" t="str">
        <f>"肖依"</f>
        <v>肖依</v>
      </c>
      <c r="D2715" s="4" t="str">
        <f>"2021022226"</f>
        <v>2021022226</v>
      </c>
      <c r="E2715" s="4" t="str">
        <f t="shared" si="343"/>
        <v>22</v>
      </c>
      <c r="F2715" s="4" t="str">
        <f>"26"</f>
        <v>26</v>
      </c>
      <c r="G2715" s="4" t="s">
        <v>27</v>
      </c>
      <c r="H2715" s="5">
        <v>0</v>
      </c>
      <c r="I2715" s="6" t="s">
        <v>13</v>
      </c>
      <c r="J2715" s="4">
        <f>SUMPRODUCT(--((A2715=$A$3:$A$2785)*$H$3:$H$2785&gt;H2715))+1</f>
        <v>78</v>
      </c>
    </row>
    <row r="2716" s="1" customFormat="true" customHeight="true" spans="1:10">
      <c r="A2716" s="4" t="str">
        <f t="shared" si="338"/>
        <v>037</v>
      </c>
      <c r="B2716" s="4" t="s">
        <v>49</v>
      </c>
      <c r="C2716" s="4" t="str">
        <f>"彭英菊"</f>
        <v>彭英菊</v>
      </c>
      <c r="D2716" s="4" t="str">
        <f>"2021022227"</f>
        <v>2021022227</v>
      </c>
      <c r="E2716" s="4" t="str">
        <f t="shared" si="343"/>
        <v>22</v>
      </c>
      <c r="F2716" s="4" t="str">
        <f>"27"</f>
        <v>27</v>
      </c>
      <c r="G2716" s="4" t="s">
        <v>27</v>
      </c>
      <c r="H2716" s="5">
        <v>0</v>
      </c>
      <c r="I2716" s="6" t="s">
        <v>13</v>
      </c>
      <c r="J2716" s="4">
        <f>SUMPRODUCT(--((A2716=$A$3:$A$2785)*$H$3:$H$2785&gt;H2716))+1</f>
        <v>78</v>
      </c>
    </row>
    <row r="2717" s="1" customFormat="true" customHeight="true" spans="1:10">
      <c r="A2717" s="4" t="str">
        <f t="shared" si="338"/>
        <v>037</v>
      </c>
      <c r="B2717" s="4" t="s">
        <v>49</v>
      </c>
      <c r="C2717" s="4" t="str">
        <f>"韩瑞"</f>
        <v>韩瑞</v>
      </c>
      <c r="D2717" s="4" t="str">
        <f>"2021022228"</f>
        <v>2021022228</v>
      </c>
      <c r="E2717" s="4" t="str">
        <f t="shared" si="343"/>
        <v>22</v>
      </c>
      <c r="F2717" s="4" t="str">
        <f>"28"</f>
        <v>28</v>
      </c>
      <c r="G2717" s="4" t="s">
        <v>27</v>
      </c>
      <c r="H2717" s="5">
        <v>0</v>
      </c>
      <c r="I2717" s="6" t="s">
        <v>13</v>
      </c>
      <c r="J2717" s="4">
        <f>SUMPRODUCT(--((A2717=$A$3:$A$2785)*$H$3:$H$2785&gt;H2717))+1</f>
        <v>78</v>
      </c>
    </row>
    <row r="2718" s="1" customFormat="true" customHeight="true" spans="1:10">
      <c r="A2718" s="4" t="str">
        <f t="shared" si="338"/>
        <v>037</v>
      </c>
      <c r="B2718" s="4" t="s">
        <v>49</v>
      </c>
      <c r="C2718" s="4" t="str">
        <f>"李倩"</f>
        <v>李倩</v>
      </c>
      <c r="D2718" s="4" t="str">
        <f>"2021022230"</f>
        <v>2021022230</v>
      </c>
      <c r="E2718" s="4" t="str">
        <f t="shared" si="343"/>
        <v>22</v>
      </c>
      <c r="F2718" s="4" t="str">
        <f>"30"</f>
        <v>30</v>
      </c>
      <c r="G2718" s="4" t="s">
        <v>27</v>
      </c>
      <c r="H2718" s="5">
        <v>0</v>
      </c>
      <c r="I2718" s="6" t="s">
        <v>13</v>
      </c>
      <c r="J2718" s="4">
        <f>SUMPRODUCT(--((A2718=$A$3:$A$2785)*$H$3:$H$2785&gt;H2718))+1</f>
        <v>78</v>
      </c>
    </row>
    <row r="2719" s="1" customFormat="true" customHeight="true" spans="1:10">
      <c r="A2719" s="4" t="str">
        <f t="shared" si="338"/>
        <v>037</v>
      </c>
      <c r="B2719" s="4" t="s">
        <v>49</v>
      </c>
      <c r="C2719" s="4" t="str">
        <f>"刘晋"</f>
        <v>刘晋</v>
      </c>
      <c r="D2719" s="4" t="str">
        <f>"2021022302"</f>
        <v>2021022302</v>
      </c>
      <c r="E2719" s="4" t="str">
        <f t="shared" ref="E2719:E2736" si="344">"23"</f>
        <v>23</v>
      </c>
      <c r="F2719" s="4" t="str">
        <f>"02"</f>
        <v>02</v>
      </c>
      <c r="G2719" s="4" t="s">
        <v>27</v>
      </c>
      <c r="H2719" s="5">
        <v>0</v>
      </c>
      <c r="I2719" s="6" t="s">
        <v>13</v>
      </c>
      <c r="J2719" s="4">
        <f>SUMPRODUCT(--((A2719=$A$3:$A$2785)*$H$3:$H$2785&gt;H2719))+1</f>
        <v>78</v>
      </c>
    </row>
    <row r="2720" s="1" customFormat="true" customHeight="true" spans="1:10">
      <c r="A2720" s="4" t="str">
        <f t="shared" si="338"/>
        <v>037</v>
      </c>
      <c r="B2720" s="4" t="s">
        <v>49</v>
      </c>
      <c r="C2720" s="4" t="str">
        <f>"舒卉婷"</f>
        <v>舒卉婷</v>
      </c>
      <c r="D2720" s="4" t="str">
        <f>"2021022303"</f>
        <v>2021022303</v>
      </c>
      <c r="E2720" s="4" t="str">
        <f t="shared" si="344"/>
        <v>23</v>
      </c>
      <c r="F2720" s="4" t="str">
        <f>"03"</f>
        <v>03</v>
      </c>
      <c r="G2720" s="4" t="s">
        <v>27</v>
      </c>
      <c r="H2720" s="5">
        <v>0</v>
      </c>
      <c r="I2720" s="6" t="s">
        <v>13</v>
      </c>
      <c r="J2720" s="4">
        <f>SUMPRODUCT(--((A2720=$A$3:$A$2785)*$H$3:$H$2785&gt;H2720))+1</f>
        <v>78</v>
      </c>
    </row>
    <row r="2721" s="1" customFormat="true" customHeight="true" spans="1:10">
      <c r="A2721" s="4" t="str">
        <f t="shared" si="338"/>
        <v>037</v>
      </c>
      <c r="B2721" s="4" t="s">
        <v>49</v>
      </c>
      <c r="C2721" s="4" t="str">
        <f>"胡尹耀"</f>
        <v>胡尹耀</v>
      </c>
      <c r="D2721" s="4" t="str">
        <f>"2021022305"</f>
        <v>2021022305</v>
      </c>
      <c r="E2721" s="4" t="str">
        <f t="shared" si="344"/>
        <v>23</v>
      </c>
      <c r="F2721" s="4" t="str">
        <f>"05"</f>
        <v>05</v>
      </c>
      <c r="G2721" s="4" t="s">
        <v>27</v>
      </c>
      <c r="H2721" s="5">
        <v>0</v>
      </c>
      <c r="I2721" s="6" t="s">
        <v>13</v>
      </c>
      <c r="J2721" s="4">
        <f>SUMPRODUCT(--((A2721=$A$3:$A$2785)*$H$3:$H$2785&gt;H2721))+1</f>
        <v>78</v>
      </c>
    </row>
    <row r="2722" s="1" customFormat="true" customHeight="true" spans="1:10">
      <c r="A2722" s="4" t="str">
        <f t="shared" si="338"/>
        <v>037</v>
      </c>
      <c r="B2722" s="4" t="s">
        <v>49</v>
      </c>
      <c r="C2722" s="4" t="str">
        <f>"彭金莲"</f>
        <v>彭金莲</v>
      </c>
      <c r="D2722" s="4" t="str">
        <f>"2021022307"</f>
        <v>2021022307</v>
      </c>
      <c r="E2722" s="4" t="str">
        <f t="shared" si="344"/>
        <v>23</v>
      </c>
      <c r="F2722" s="4" t="str">
        <f>"07"</f>
        <v>07</v>
      </c>
      <c r="G2722" s="4" t="s">
        <v>27</v>
      </c>
      <c r="H2722" s="5">
        <v>0</v>
      </c>
      <c r="I2722" s="6" t="s">
        <v>13</v>
      </c>
      <c r="J2722" s="4">
        <f>SUMPRODUCT(--((A2722=$A$3:$A$2785)*$H$3:$H$2785&gt;H2722))+1</f>
        <v>78</v>
      </c>
    </row>
    <row r="2723" s="1" customFormat="true" customHeight="true" spans="1:10">
      <c r="A2723" s="4" t="str">
        <f t="shared" si="338"/>
        <v>037</v>
      </c>
      <c r="B2723" s="4" t="s">
        <v>49</v>
      </c>
      <c r="C2723" s="4" t="str">
        <f>"杨丽萍"</f>
        <v>杨丽萍</v>
      </c>
      <c r="D2723" s="4" t="str">
        <f>"2021022312"</f>
        <v>2021022312</v>
      </c>
      <c r="E2723" s="4" t="str">
        <f t="shared" si="344"/>
        <v>23</v>
      </c>
      <c r="F2723" s="4" t="str">
        <f>"12"</f>
        <v>12</v>
      </c>
      <c r="G2723" s="4" t="s">
        <v>27</v>
      </c>
      <c r="H2723" s="5">
        <v>0</v>
      </c>
      <c r="I2723" s="6" t="s">
        <v>13</v>
      </c>
      <c r="J2723" s="4">
        <f>SUMPRODUCT(--((A2723=$A$3:$A$2785)*$H$3:$H$2785&gt;H2723))+1</f>
        <v>78</v>
      </c>
    </row>
    <row r="2724" s="1" customFormat="true" customHeight="true" spans="1:10">
      <c r="A2724" s="4" t="str">
        <f t="shared" si="338"/>
        <v>037</v>
      </c>
      <c r="B2724" s="4" t="s">
        <v>49</v>
      </c>
      <c r="C2724" s="4" t="str">
        <f>"吴晶晶"</f>
        <v>吴晶晶</v>
      </c>
      <c r="D2724" s="4" t="str">
        <f>"2021022313"</f>
        <v>2021022313</v>
      </c>
      <c r="E2724" s="4" t="str">
        <f t="shared" si="344"/>
        <v>23</v>
      </c>
      <c r="F2724" s="4" t="str">
        <f>"13"</f>
        <v>13</v>
      </c>
      <c r="G2724" s="4" t="s">
        <v>27</v>
      </c>
      <c r="H2724" s="5">
        <v>0</v>
      </c>
      <c r="I2724" s="6" t="s">
        <v>13</v>
      </c>
      <c r="J2724" s="4">
        <f>SUMPRODUCT(--((A2724=$A$3:$A$2785)*$H$3:$H$2785&gt;H2724))+1</f>
        <v>78</v>
      </c>
    </row>
    <row r="2725" s="1" customFormat="true" customHeight="true" spans="1:10">
      <c r="A2725" s="4" t="str">
        <f t="shared" si="338"/>
        <v>037</v>
      </c>
      <c r="B2725" s="4" t="s">
        <v>49</v>
      </c>
      <c r="C2725" s="4" t="str">
        <f>"彭佳慧"</f>
        <v>彭佳慧</v>
      </c>
      <c r="D2725" s="4" t="str">
        <f>"2021022316"</f>
        <v>2021022316</v>
      </c>
      <c r="E2725" s="4" t="str">
        <f t="shared" si="344"/>
        <v>23</v>
      </c>
      <c r="F2725" s="4" t="str">
        <f>"16"</f>
        <v>16</v>
      </c>
      <c r="G2725" s="4" t="s">
        <v>27</v>
      </c>
      <c r="H2725" s="5">
        <v>0</v>
      </c>
      <c r="I2725" s="6" t="s">
        <v>13</v>
      </c>
      <c r="J2725" s="4">
        <f>SUMPRODUCT(--((A2725=$A$3:$A$2785)*$H$3:$H$2785&gt;H2725))+1</f>
        <v>78</v>
      </c>
    </row>
    <row r="2726" s="1" customFormat="true" customHeight="true" spans="1:10">
      <c r="A2726" s="4" t="str">
        <f t="shared" si="338"/>
        <v>037</v>
      </c>
      <c r="B2726" s="4" t="s">
        <v>49</v>
      </c>
      <c r="C2726" s="4" t="str">
        <f>"谢红艳"</f>
        <v>谢红艳</v>
      </c>
      <c r="D2726" s="4" t="str">
        <f>"2021022317"</f>
        <v>2021022317</v>
      </c>
      <c r="E2726" s="4" t="str">
        <f t="shared" si="344"/>
        <v>23</v>
      </c>
      <c r="F2726" s="4" t="str">
        <f>"17"</f>
        <v>17</v>
      </c>
      <c r="G2726" s="4" t="s">
        <v>27</v>
      </c>
      <c r="H2726" s="5">
        <v>0</v>
      </c>
      <c r="I2726" s="6" t="s">
        <v>13</v>
      </c>
      <c r="J2726" s="4">
        <f>SUMPRODUCT(--((A2726=$A$3:$A$2785)*$H$3:$H$2785&gt;H2726))+1</f>
        <v>78</v>
      </c>
    </row>
    <row r="2727" s="1" customFormat="true" customHeight="true" spans="1:10">
      <c r="A2727" s="4" t="str">
        <f t="shared" si="338"/>
        <v>037</v>
      </c>
      <c r="B2727" s="4" t="s">
        <v>49</v>
      </c>
      <c r="C2727" s="4" t="str">
        <f>"朱莉莉"</f>
        <v>朱莉莉</v>
      </c>
      <c r="D2727" s="4" t="str">
        <f>"2021022318"</f>
        <v>2021022318</v>
      </c>
      <c r="E2727" s="4" t="str">
        <f t="shared" si="344"/>
        <v>23</v>
      </c>
      <c r="F2727" s="4" t="str">
        <f>"18"</f>
        <v>18</v>
      </c>
      <c r="G2727" s="4" t="s">
        <v>27</v>
      </c>
      <c r="H2727" s="5">
        <v>0</v>
      </c>
      <c r="I2727" s="6" t="s">
        <v>13</v>
      </c>
      <c r="J2727" s="4">
        <f>SUMPRODUCT(--((A2727=$A$3:$A$2785)*$H$3:$H$2785&gt;H2727))+1</f>
        <v>78</v>
      </c>
    </row>
    <row r="2728" s="1" customFormat="true" customHeight="true" spans="1:10">
      <c r="A2728" s="4" t="str">
        <f t="shared" si="338"/>
        <v>037</v>
      </c>
      <c r="B2728" s="4" t="s">
        <v>49</v>
      </c>
      <c r="C2728" s="4" t="str">
        <f>"刘艳梅"</f>
        <v>刘艳梅</v>
      </c>
      <c r="D2728" s="4" t="str">
        <f>"2021022319"</f>
        <v>2021022319</v>
      </c>
      <c r="E2728" s="4" t="str">
        <f t="shared" si="344"/>
        <v>23</v>
      </c>
      <c r="F2728" s="4" t="str">
        <f>"19"</f>
        <v>19</v>
      </c>
      <c r="G2728" s="4" t="s">
        <v>27</v>
      </c>
      <c r="H2728" s="5">
        <v>0</v>
      </c>
      <c r="I2728" s="6" t="s">
        <v>13</v>
      </c>
      <c r="J2728" s="4">
        <f>SUMPRODUCT(--((A2728=$A$3:$A$2785)*$H$3:$H$2785&gt;H2728))+1</f>
        <v>78</v>
      </c>
    </row>
    <row r="2729" s="1" customFormat="true" customHeight="true" spans="1:10">
      <c r="A2729" s="4" t="str">
        <f t="shared" si="338"/>
        <v>037</v>
      </c>
      <c r="B2729" s="4" t="s">
        <v>49</v>
      </c>
      <c r="C2729" s="4" t="str">
        <f>"舒芳玲"</f>
        <v>舒芳玲</v>
      </c>
      <c r="D2729" s="4" t="str">
        <f>"2021022320"</f>
        <v>2021022320</v>
      </c>
      <c r="E2729" s="4" t="str">
        <f t="shared" si="344"/>
        <v>23</v>
      </c>
      <c r="F2729" s="4" t="str">
        <f>"20"</f>
        <v>20</v>
      </c>
      <c r="G2729" s="4" t="s">
        <v>27</v>
      </c>
      <c r="H2729" s="5">
        <v>0</v>
      </c>
      <c r="I2729" s="6" t="s">
        <v>13</v>
      </c>
      <c r="J2729" s="4">
        <f>SUMPRODUCT(--((A2729=$A$3:$A$2785)*$H$3:$H$2785&gt;H2729))+1</f>
        <v>78</v>
      </c>
    </row>
    <row r="2730" s="1" customFormat="true" customHeight="true" spans="1:10">
      <c r="A2730" s="4" t="str">
        <f t="shared" si="338"/>
        <v>037</v>
      </c>
      <c r="B2730" s="4" t="s">
        <v>49</v>
      </c>
      <c r="C2730" s="4" t="str">
        <f>"龙琴英"</f>
        <v>龙琴英</v>
      </c>
      <c r="D2730" s="4" t="str">
        <f>"2021022321"</f>
        <v>2021022321</v>
      </c>
      <c r="E2730" s="4" t="str">
        <f t="shared" si="344"/>
        <v>23</v>
      </c>
      <c r="F2730" s="4" t="str">
        <f>"21"</f>
        <v>21</v>
      </c>
      <c r="G2730" s="4" t="s">
        <v>27</v>
      </c>
      <c r="H2730" s="5">
        <v>0</v>
      </c>
      <c r="I2730" s="6" t="s">
        <v>13</v>
      </c>
      <c r="J2730" s="4">
        <f>SUMPRODUCT(--((A2730=$A$3:$A$2785)*$H$3:$H$2785&gt;H2730))+1</f>
        <v>78</v>
      </c>
    </row>
    <row r="2731" s="1" customFormat="true" customHeight="true" spans="1:10">
      <c r="A2731" s="4" t="str">
        <f t="shared" si="338"/>
        <v>037</v>
      </c>
      <c r="B2731" s="4" t="s">
        <v>49</v>
      </c>
      <c r="C2731" s="4" t="str">
        <f>"吴丹"</f>
        <v>吴丹</v>
      </c>
      <c r="D2731" s="4" t="str">
        <f>"2021022322"</f>
        <v>2021022322</v>
      </c>
      <c r="E2731" s="4" t="str">
        <f t="shared" si="344"/>
        <v>23</v>
      </c>
      <c r="F2731" s="4" t="str">
        <f>"22"</f>
        <v>22</v>
      </c>
      <c r="G2731" s="4" t="s">
        <v>27</v>
      </c>
      <c r="H2731" s="5">
        <v>0</v>
      </c>
      <c r="I2731" s="6" t="s">
        <v>13</v>
      </c>
      <c r="J2731" s="4">
        <f>SUMPRODUCT(--((A2731=$A$3:$A$2785)*$H$3:$H$2785&gt;H2731))+1</f>
        <v>78</v>
      </c>
    </row>
    <row r="2732" s="1" customFormat="true" customHeight="true" spans="1:10">
      <c r="A2732" s="4" t="str">
        <f t="shared" ref="A2732:A2756" si="345">"037"</f>
        <v>037</v>
      </c>
      <c r="B2732" s="4" t="s">
        <v>49</v>
      </c>
      <c r="C2732" s="4" t="str">
        <f>"艾敬"</f>
        <v>艾敬</v>
      </c>
      <c r="D2732" s="4" t="str">
        <f>"2021022323"</f>
        <v>2021022323</v>
      </c>
      <c r="E2732" s="4" t="str">
        <f t="shared" si="344"/>
        <v>23</v>
      </c>
      <c r="F2732" s="4" t="str">
        <f>"23"</f>
        <v>23</v>
      </c>
      <c r="G2732" s="4" t="s">
        <v>27</v>
      </c>
      <c r="H2732" s="5">
        <v>0</v>
      </c>
      <c r="I2732" s="6" t="s">
        <v>13</v>
      </c>
      <c r="J2732" s="4">
        <f>SUMPRODUCT(--((A2732=$A$3:$A$2785)*$H$3:$H$2785&gt;H2732))+1</f>
        <v>78</v>
      </c>
    </row>
    <row r="2733" s="1" customFormat="true" customHeight="true" spans="1:10">
      <c r="A2733" s="4" t="str">
        <f t="shared" si="345"/>
        <v>037</v>
      </c>
      <c r="B2733" s="4" t="s">
        <v>49</v>
      </c>
      <c r="C2733" s="4" t="str">
        <f>"潘婷"</f>
        <v>潘婷</v>
      </c>
      <c r="D2733" s="4" t="str">
        <f>"2021022324"</f>
        <v>2021022324</v>
      </c>
      <c r="E2733" s="4" t="str">
        <f t="shared" si="344"/>
        <v>23</v>
      </c>
      <c r="F2733" s="4" t="str">
        <f>"24"</f>
        <v>24</v>
      </c>
      <c r="G2733" s="4" t="s">
        <v>27</v>
      </c>
      <c r="H2733" s="5">
        <v>0</v>
      </c>
      <c r="I2733" s="6" t="s">
        <v>13</v>
      </c>
      <c r="J2733" s="4">
        <f>SUMPRODUCT(--((A2733=$A$3:$A$2785)*$H$3:$H$2785&gt;H2733))+1</f>
        <v>78</v>
      </c>
    </row>
    <row r="2734" s="1" customFormat="true" customHeight="true" spans="1:10">
      <c r="A2734" s="4" t="str">
        <f t="shared" si="345"/>
        <v>037</v>
      </c>
      <c r="B2734" s="4" t="s">
        <v>49</v>
      </c>
      <c r="C2734" s="4" t="str">
        <f>"向骄杨"</f>
        <v>向骄杨</v>
      </c>
      <c r="D2734" s="4" t="str">
        <f>"2021022325"</f>
        <v>2021022325</v>
      </c>
      <c r="E2734" s="4" t="str">
        <f t="shared" si="344"/>
        <v>23</v>
      </c>
      <c r="F2734" s="4" t="str">
        <f>"25"</f>
        <v>25</v>
      </c>
      <c r="G2734" s="4" t="s">
        <v>27</v>
      </c>
      <c r="H2734" s="5">
        <v>0</v>
      </c>
      <c r="I2734" s="6" t="s">
        <v>13</v>
      </c>
      <c r="J2734" s="4">
        <f>SUMPRODUCT(--((A2734=$A$3:$A$2785)*$H$3:$H$2785&gt;H2734))+1</f>
        <v>78</v>
      </c>
    </row>
    <row r="2735" s="1" customFormat="true" customHeight="true" spans="1:10">
      <c r="A2735" s="4" t="str">
        <f t="shared" si="345"/>
        <v>037</v>
      </c>
      <c r="B2735" s="4" t="s">
        <v>49</v>
      </c>
      <c r="C2735" s="4" t="str">
        <f>"胡春渡"</f>
        <v>胡春渡</v>
      </c>
      <c r="D2735" s="4" t="str">
        <f>"2021022326"</f>
        <v>2021022326</v>
      </c>
      <c r="E2735" s="4" t="str">
        <f t="shared" si="344"/>
        <v>23</v>
      </c>
      <c r="F2735" s="4" t="str">
        <f>"26"</f>
        <v>26</v>
      </c>
      <c r="G2735" s="4" t="s">
        <v>27</v>
      </c>
      <c r="H2735" s="5">
        <v>0</v>
      </c>
      <c r="I2735" s="6" t="s">
        <v>13</v>
      </c>
      <c r="J2735" s="4">
        <f>SUMPRODUCT(--((A2735=$A$3:$A$2785)*$H$3:$H$2785&gt;H2735))+1</f>
        <v>78</v>
      </c>
    </row>
    <row r="2736" s="1" customFormat="true" customHeight="true" spans="1:10">
      <c r="A2736" s="4" t="str">
        <f t="shared" si="345"/>
        <v>037</v>
      </c>
      <c r="B2736" s="4" t="s">
        <v>49</v>
      </c>
      <c r="C2736" s="4" t="str">
        <f>"金璐"</f>
        <v>金璐</v>
      </c>
      <c r="D2736" s="4" t="str">
        <f>"2021022327"</f>
        <v>2021022327</v>
      </c>
      <c r="E2736" s="4" t="str">
        <f t="shared" si="344"/>
        <v>23</v>
      </c>
      <c r="F2736" s="4" t="str">
        <f>"27"</f>
        <v>27</v>
      </c>
      <c r="G2736" s="4" t="s">
        <v>27</v>
      </c>
      <c r="H2736" s="5">
        <v>0</v>
      </c>
      <c r="I2736" s="6" t="s">
        <v>13</v>
      </c>
      <c r="J2736" s="4">
        <f>SUMPRODUCT(--((A2736=$A$3:$A$2785)*$H$3:$H$2785&gt;H2736))+1</f>
        <v>78</v>
      </c>
    </row>
    <row r="2737" s="1" customFormat="true" customHeight="true" spans="1:10">
      <c r="A2737" s="4" t="str">
        <f t="shared" si="345"/>
        <v>037</v>
      </c>
      <c r="B2737" s="4" t="s">
        <v>49</v>
      </c>
      <c r="C2737" s="4" t="str">
        <f>"李捷"</f>
        <v>李捷</v>
      </c>
      <c r="D2737" s="4" t="str">
        <f>"2021022402"</f>
        <v>2021022402</v>
      </c>
      <c r="E2737" s="4" t="str">
        <f t="shared" ref="E2737:E2749" si="346">"24"</f>
        <v>24</v>
      </c>
      <c r="F2737" s="4" t="str">
        <f>"02"</f>
        <v>02</v>
      </c>
      <c r="G2737" s="4" t="s">
        <v>27</v>
      </c>
      <c r="H2737" s="5">
        <v>0</v>
      </c>
      <c r="I2737" s="6" t="s">
        <v>13</v>
      </c>
      <c r="J2737" s="4">
        <f>SUMPRODUCT(--((A2737=$A$3:$A$2785)*$H$3:$H$2785&gt;H2737))+1</f>
        <v>78</v>
      </c>
    </row>
    <row r="2738" s="1" customFormat="true" customHeight="true" spans="1:10">
      <c r="A2738" s="4" t="str">
        <f t="shared" si="345"/>
        <v>037</v>
      </c>
      <c r="B2738" s="4" t="s">
        <v>49</v>
      </c>
      <c r="C2738" s="4" t="str">
        <f>"李东静"</f>
        <v>李东静</v>
      </c>
      <c r="D2738" s="4" t="str">
        <f>"2021022405"</f>
        <v>2021022405</v>
      </c>
      <c r="E2738" s="4" t="str">
        <f t="shared" si="346"/>
        <v>24</v>
      </c>
      <c r="F2738" s="4" t="str">
        <f>"05"</f>
        <v>05</v>
      </c>
      <c r="G2738" s="4" t="s">
        <v>27</v>
      </c>
      <c r="H2738" s="5">
        <v>0</v>
      </c>
      <c r="I2738" s="6" t="s">
        <v>13</v>
      </c>
      <c r="J2738" s="4">
        <f>SUMPRODUCT(--((A2738=$A$3:$A$2785)*$H$3:$H$2785&gt;H2738))+1</f>
        <v>78</v>
      </c>
    </row>
    <row r="2739" s="1" customFormat="true" customHeight="true" spans="1:10">
      <c r="A2739" s="4" t="str">
        <f t="shared" si="345"/>
        <v>037</v>
      </c>
      <c r="B2739" s="4" t="s">
        <v>49</v>
      </c>
      <c r="C2739" s="4" t="str">
        <f>"吴琳"</f>
        <v>吴琳</v>
      </c>
      <c r="D2739" s="4" t="str">
        <f>"2021022407"</f>
        <v>2021022407</v>
      </c>
      <c r="E2739" s="4" t="str">
        <f t="shared" si="346"/>
        <v>24</v>
      </c>
      <c r="F2739" s="4" t="str">
        <f>"07"</f>
        <v>07</v>
      </c>
      <c r="G2739" s="4" t="s">
        <v>27</v>
      </c>
      <c r="H2739" s="5">
        <v>0</v>
      </c>
      <c r="I2739" s="6" t="s">
        <v>13</v>
      </c>
      <c r="J2739" s="4">
        <f>SUMPRODUCT(--((A2739=$A$3:$A$2785)*$H$3:$H$2785&gt;H2739))+1</f>
        <v>78</v>
      </c>
    </row>
    <row r="2740" s="1" customFormat="true" customHeight="true" spans="1:10">
      <c r="A2740" s="4" t="str">
        <f t="shared" si="345"/>
        <v>037</v>
      </c>
      <c r="B2740" s="4" t="s">
        <v>49</v>
      </c>
      <c r="C2740" s="4" t="str">
        <f>"张沙沙"</f>
        <v>张沙沙</v>
      </c>
      <c r="D2740" s="4" t="str">
        <f>"2021022408"</f>
        <v>2021022408</v>
      </c>
      <c r="E2740" s="4" t="str">
        <f t="shared" si="346"/>
        <v>24</v>
      </c>
      <c r="F2740" s="4" t="str">
        <f>"08"</f>
        <v>08</v>
      </c>
      <c r="G2740" s="4" t="s">
        <v>27</v>
      </c>
      <c r="H2740" s="5">
        <v>0</v>
      </c>
      <c r="I2740" s="6" t="s">
        <v>13</v>
      </c>
      <c r="J2740" s="4">
        <f>SUMPRODUCT(--((A2740=$A$3:$A$2785)*$H$3:$H$2785&gt;H2740))+1</f>
        <v>78</v>
      </c>
    </row>
    <row r="2741" s="1" customFormat="true" customHeight="true" spans="1:10">
      <c r="A2741" s="4" t="str">
        <f t="shared" si="345"/>
        <v>037</v>
      </c>
      <c r="B2741" s="4" t="s">
        <v>49</v>
      </c>
      <c r="C2741" s="4" t="str">
        <f>"滕黄金"</f>
        <v>滕黄金</v>
      </c>
      <c r="D2741" s="4" t="str">
        <f>"2021022409"</f>
        <v>2021022409</v>
      </c>
      <c r="E2741" s="4" t="str">
        <f t="shared" si="346"/>
        <v>24</v>
      </c>
      <c r="F2741" s="4" t="str">
        <f>"09"</f>
        <v>09</v>
      </c>
      <c r="G2741" s="4" t="s">
        <v>27</v>
      </c>
      <c r="H2741" s="5">
        <v>0</v>
      </c>
      <c r="I2741" s="6" t="s">
        <v>13</v>
      </c>
      <c r="J2741" s="4">
        <f>SUMPRODUCT(--((A2741=$A$3:$A$2785)*$H$3:$H$2785&gt;H2741))+1</f>
        <v>78</v>
      </c>
    </row>
    <row r="2742" s="1" customFormat="true" customHeight="true" spans="1:10">
      <c r="A2742" s="4" t="str">
        <f t="shared" si="345"/>
        <v>037</v>
      </c>
      <c r="B2742" s="4" t="s">
        <v>49</v>
      </c>
      <c r="C2742" s="4" t="str">
        <f>"杨芳"</f>
        <v>杨芳</v>
      </c>
      <c r="D2742" s="4" t="str">
        <f>"2021022413"</f>
        <v>2021022413</v>
      </c>
      <c r="E2742" s="4" t="str">
        <f t="shared" si="346"/>
        <v>24</v>
      </c>
      <c r="F2742" s="4" t="str">
        <f>"13"</f>
        <v>13</v>
      </c>
      <c r="G2742" s="4" t="s">
        <v>27</v>
      </c>
      <c r="H2742" s="5">
        <v>0</v>
      </c>
      <c r="I2742" s="6" t="s">
        <v>13</v>
      </c>
      <c r="J2742" s="4">
        <f>SUMPRODUCT(--((A2742=$A$3:$A$2785)*$H$3:$H$2785&gt;H2742))+1</f>
        <v>78</v>
      </c>
    </row>
    <row r="2743" s="1" customFormat="true" customHeight="true" spans="1:10">
      <c r="A2743" s="4" t="str">
        <f t="shared" si="345"/>
        <v>037</v>
      </c>
      <c r="B2743" s="4" t="s">
        <v>49</v>
      </c>
      <c r="C2743" s="4" t="str">
        <f>"魏旖"</f>
        <v>魏旖</v>
      </c>
      <c r="D2743" s="4" t="str">
        <f>"2021022420"</f>
        <v>2021022420</v>
      </c>
      <c r="E2743" s="4" t="str">
        <f t="shared" si="346"/>
        <v>24</v>
      </c>
      <c r="F2743" s="4" t="str">
        <f>"20"</f>
        <v>20</v>
      </c>
      <c r="G2743" s="4" t="s">
        <v>27</v>
      </c>
      <c r="H2743" s="5">
        <v>0</v>
      </c>
      <c r="I2743" s="6" t="s">
        <v>13</v>
      </c>
      <c r="J2743" s="4">
        <f>SUMPRODUCT(--((A2743=$A$3:$A$2785)*$H$3:$H$2785&gt;H2743))+1</f>
        <v>78</v>
      </c>
    </row>
    <row r="2744" s="1" customFormat="true" customHeight="true" spans="1:10">
      <c r="A2744" s="4" t="str">
        <f t="shared" si="345"/>
        <v>037</v>
      </c>
      <c r="B2744" s="4" t="s">
        <v>49</v>
      </c>
      <c r="C2744" s="4" t="str">
        <f>"杨月颜"</f>
        <v>杨月颜</v>
      </c>
      <c r="D2744" s="4" t="str">
        <f>"2021022421"</f>
        <v>2021022421</v>
      </c>
      <c r="E2744" s="4" t="str">
        <f t="shared" si="346"/>
        <v>24</v>
      </c>
      <c r="F2744" s="4" t="str">
        <f>"21"</f>
        <v>21</v>
      </c>
      <c r="G2744" s="4" t="s">
        <v>27</v>
      </c>
      <c r="H2744" s="5">
        <v>0</v>
      </c>
      <c r="I2744" s="6" t="s">
        <v>13</v>
      </c>
      <c r="J2744" s="4">
        <f>SUMPRODUCT(--((A2744=$A$3:$A$2785)*$H$3:$H$2785&gt;H2744))+1</f>
        <v>78</v>
      </c>
    </row>
    <row r="2745" s="1" customFormat="true" customHeight="true" spans="1:10">
      <c r="A2745" s="4" t="str">
        <f t="shared" si="345"/>
        <v>037</v>
      </c>
      <c r="B2745" s="4" t="s">
        <v>49</v>
      </c>
      <c r="C2745" s="4" t="str">
        <f>"王芳"</f>
        <v>王芳</v>
      </c>
      <c r="D2745" s="4" t="str">
        <f>"2021022422"</f>
        <v>2021022422</v>
      </c>
      <c r="E2745" s="4" t="str">
        <f t="shared" si="346"/>
        <v>24</v>
      </c>
      <c r="F2745" s="4" t="str">
        <f>"22"</f>
        <v>22</v>
      </c>
      <c r="G2745" s="4" t="s">
        <v>27</v>
      </c>
      <c r="H2745" s="5">
        <v>0</v>
      </c>
      <c r="I2745" s="6" t="s">
        <v>13</v>
      </c>
      <c r="J2745" s="4">
        <f>SUMPRODUCT(--((A2745=$A$3:$A$2785)*$H$3:$H$2785&gt;H2745))+1</f>
        <v>78</v>
      </c>
    </row>
    <row r="2746" s="1" customFormat="true" customHeight="true" spans="1:10">
      <c r="A2746" s="4" t="str">
        <f t="shared" si="345"/>
        <v>037</v>
      </c>
      <c r="B2746" s="4" t="s">
        <v>49</v>
      </c>
      <c r="C2746" s="4" t="str">
        <f>"邹倩"</f>
        <v>邹倩</v>
      </c>
      <c r="D2746" s="4" t="str">
        <f>"2021022424"</f>
        <v>2021022424</v>
      </c>
      <c r="E2746" s="4" t="str">
        <f t="shared" si="346"/>
        <v>24</v>
      </c>
      <c r="F2746" s="4" t="str">
        <f>"24"</f>
        <v>24</v>
      </c>
      <c r="G2746" s="4" t="s">
        <v>27</v>
      </c>
      <c r="H2746" s="5">
        <v>0</v>
      </c>
      <c r="I2746" s="6" t="s">
        <v>13</v>
      </c>
      <c r="J2746" s="4">
        <f>SUMPRODUCT(--((A2746=$A$3:$A$2785)*$H$3:$H$2785&gt;H2746))+1</f>
        <v>78</v>
      </c>
    </row>
    <row r="2747" s="1" customFormat="true" customHeight="true" spans="1:10">
      <c r="A2747" s="4" t="str">
        <f t="shared" si="345"/>
        <v>037</v>
      </c>
      <c r="B2747" s="4" t="s">
        <v>49</v>
      </c>
      <c r="C2747" s="4" t="str">
        <f>"石启玲"</f>
        <v>石启玲</v>
      </c>
      <c r="D2747" s="4" t="str">
        <f>"2021022426"</f>
        <v>2021022426</v>
      </c>
      <c r="E2747" s="4" t="str">
        <f t="shared" si="346"/>
        <v>24</v>
      </c>
      <c r="F2747" s="4" t="str">
        <f>"26"</f>
        <v>26</v>
      </c>
      <c r="G2747" s="4" t="s">
        <v>27</v>
      </c>
      <c r="H2747" s="5">
        <v>0</v>
      </c>
      <c r="I2747" s="6" t="s">
        <v>13</v>
      </c>
      <c r="J2747" s="4">
        <f>SUMPRODUCT(--((A2747=$A$3:$A$2785)*$H$3:$H$2785&gt;H2747))+1</f>
        <v>78</v>
      </c>
    </row>
    <row r="2748" s="1" customFormat="true" customHeight="true" spans="1:10">
      <c r="A2748" s="4" t="str">
        <f t="shared" si="345"/>
        <v>037</v>
      </c>
      <c r="B2748" s="4" t="s">
        <v>49</v>
      </c>
      <c r="C2748" s="4" t="str">
        <f>"梁琼芳"</f>
        <v>梁琼芳</v>
      </c>
      <c r="D2748" s="4" t="str">
        <f>"2021022427"</f>
        <v>2021022427</v>
      </c>
      <c r="E2748" s="4" t="str">
        <f t="shared" si="346"/>
        <v>24</v>
      </c>
      <c r="F2748" s="4" t="str">
        <f>"27"</f>
        <v>27</v>
      </c>
      <c r="G2748" s="4" t="s">
        <v>27</v>
      </c>
      <c r="H2748" s="5">
        <v>0</v>
      </c>
      <c r="I2748" s="6" t="s">
        <v>13</v>
      </c>
      <c r="J2748" s="4">
        <f>SUMPRODUCT(--((A2748=$A$3:$A$2785)*$H$3:$H$2785&gt;H2748))+1</f>
        <v>78</v>
      </c>
    </row>
    <row r="2749" s="1" customFormat="true" customHeight="true" spans="1:10">
      <c r="A2749" s="4" t="str">
        <f t="shared" si="345"/>
        <v>037</v>
      </c>
      <c r="B2749" s="4" t="s">
        <v>49</v>
      </c>
      <c r="C2749" s="4" t="str">
        <f>"钟怡"</f>
        <v>钟怡</v>
      </c>
      <c r="D2749" s="4" t="str">
        <f>"2021022429"</f>
        <v>2021022429</v>
      </c>
      <c r="E2749" s="4" t="str">
        <f t="shared" si="346"/>
        <v>24</v>
      </c>
      <c r="F2749" s="4" t="str">
        <f>"29"</f>
        <v>29</v>
      </c>
      <c r="G2749" s="4" t="s">
        <v>27</v>
      </c>
      <c r="H2749" s="5">
        <v>0</v>
      </c>
      <c r="I2749" s="6" t="s">
        <v>13</v>
      </c>
      <c r="J2749" s="4">
        <f>SUMPRODUCT(--((A2749=$A$3:$A$2785)*$H$3:$H$2785&gt;H2749))+1</f>
        <v>78</v>
      </c>
    </row>
    <row r="2750" s="1" customFormat="true" customHeight="true" spans="1:10">
      <c r="A2750" s="4" t="str">
        <f t="shared" si="345"/>
        <v>037</v>
      </c>
      <c r="B2750" s="4" t="s">
        <v>49</v>
      </c>
      <c r="C2750" s="4" t="str">
        <f>"陈柳芳"</f>
        <v>陈柳芳</v>
      </c>
      <c r="D2750" s="4" t="str">
        <f>"2021022505"</f>
        <v>2021022505</v>
      </c>
      <c r="E2750" s="4" t="str">
        <f t="shared" ref="E2750:E2756" si="347">"25"</f>
        <v>25</v>
      </c>
      <c r="F2750" s="4" t="str">
        <f>"05"</f>
        <v>05</v>
      </c>
      <c r="G2750" s="4" t="s">
        <v>27</v>
      </c>
      <c r="H2750" s="5">
        <v>0</v>
      </c>
      <c r="I2750" s="6" t="s">
        <v>13</v>
      </c>
      <c r="J2750" s="4">
        <f>SUMPRODUCT(--((A2750=$A$3:$A$2785)*$H$3:$H$2785&gt;H2750))+1</f>
        <v>78</v>
      </c>
    </row>
    <row r="2751" s="1" customFormat="true" customHeight="true" spans="1:10">
      <c r="A2751" s="4" t="str">
        <f t="shared" si="345"/>
        <v>037</v>
      </c>
      <c r="B2751" s="4" t="s">
        <v>49</v>
      </c>
      <c r="C2751" s="4" t="str">
        <f>"包纯"</f>
        <v>包纯</v>
      </c>
      <c r="D2751" s="4" t="str">
        <f>"2021022507"</f>
        <v>2021022507</v>
      </c>
      <c r="E2751" s="4" t="str">
        <f t="shared" si="347"/>
        <v>25</v>
      </c>
      <c r="F2751" s="4" t="str">
        <f>"07"</f>
        <v>07</v>
      </c>
      <c r="G2751" s="4" t="s">
        <v>27</v>
      </c>
      <c r="H2751" s="5">
        <v>0</v>
      </c>
      <c r="I2751" s="6" t="s">
        <v>13</v>
      </c>
      <c r="J2751" s="4">
        <f>SUMPRODUCT(--((A2751=$A$3:$A$2785)*$H$3:$H$2785&gt;H2751))+1</f>
        <v>78</v>
      </c>
    </row>
    <row r="2752" s="1" customFormat="true" customHeight="true" spans="1:10">
      <c r="A2752" s="4" t="str">
        <f t="shared" si="345"/>
        <v>037</v>
      </c>
      <c r="B2752" s="4" t="s">
        <v>49</v>
      </c>
      <c r="C2752" s="4" t="str">
        <f>"张竞文"</f>
        <v>张竞文</v>
      </c>
      <c r="D2752" s="4" t="str">
        <f>"2021022508"</f>
        <v>2021022508</v>
      </c>
      <c r="E2752" s="4" t="str">
        <f t="shared" si="347"/>
        <v>25</v>
      </c>
      <c r="F2752" s="4" t="str">
        <f>"08"</f>
        <v>08</v>
      </c>
      <c r="G2752" s="4" t="s">
        <v>27</v>
      </c>
      <c r="H2752" s="5">
        <v>0</v>
      </c>
      <c r="I2752" s="6" t="s">
        <v>13</v>
      </c>
      <c r="J2752" s="4">
        <f>SUMPRODUCT(--((A2752=$A$3:$A$2785)*$H$3:$H$2785&gt;H2752))+1</f>
        <v>78</v>
      </c>
    </row>
    <row r="2753" s="1" customFormat="true" customHeight="true" spans="1:10">
      <c r="A2753" s="4" t="str">
        <f t="shared" si="345"/>
        <v>037</v>
      </c>
      <c r="B2753" s="4" t="s">
        <v>49</v>
      </c>
      <c r="C2753" s="4" t="str">
        <f>"唐美琦"</f>
        <v>唐美琦</v>
      </c>
      <c r="D2753" s="4" t="str">
        <f>"2021022510"</f>
        <v>2021022510</v>
      </c>
      <c r="E2753" s="4" t="str">
        <f t="shared" si="347"/>
        <v>25</v>
      </c>
      <c r="F2753" s="4" t="str">
        <f>"10"</f>
        <v>10</v>
      </c>
      <c r="G2753" s="4" t="s">
        <v>27</v>
      </c>
      <c r="H2753" s="5">
        <v>0</v>
      </c>
      <c r="I2753" s="6" t="s">
        <v>13</v>
      </c>
      <c r="J2753" s="4">
        <f>SUMPRODUCT(--((A2753=$A$3:$A$2785)*$H$3:$H$2785&gt;H2753))+1</f>
        <v>78</v>
      </c>
    </row>
    <row r="2754" s="1" customFormat="true" customHeight="true" spans="1:10">
      <c r="A2754" s="4" t="str">
        <f t="shared" si="345"/>
        <v>037</v>
      </c>
      <c r="B2754" s="4" t="s">
        <v>49</v>
      </c>
      <c r="C2754" s="4" t="str">
        <f>"李婧"</f>
        <v>李婧</v>
      </c>
      <c r="D2754" s="4" t="str">
        <f>"2021022511"</f>
        <v>2021022511</v>
      </c>
      <c r="E2754" s="4" t="str">
        <f t="shared" si="347"/>
        <v>25</v>
      </c>
      <c r="F2754" s="4" t="str">
        <f>"11"</f>
        <v>11</v>
      </c>
      <c r="G2754" s="4" t="s">
        <v>27</v>
      </c>
      <c r="H2754" s="5">
        <v>0</v>
      </c>
      <c r="I2754" s="6" t="s">
        <v>13</v>
      </c>
      <c r="J2754" s="4">
        <f>SUMPRODUCT(--((A2754=$A$3:$A$2785)*$H$3:$H$2785&gt;H2754))+1</f>
        <v>78</v>
      </c>
    </row>
    <row r="2755" s="1" customFormat="true" customHeight="true" spans="1:10">
      <c r="A2755" s="4" t="str">
        <f t="shared" si="345"/>
        <v>037</v>
      </c>
      <c r="B2755" s="4" t="s">
        <v>49</v>
      </c>
      <c r="C2755" s="4" t="str">
        <f>"石凤华"</f>
        <v>石凤华</v>
      </c>
      <c r="D2755" s="4" t="str">
        <f>"2021022513"</f>
        <v>2021022513</v>
      </c>
      <c r="E2755" s="4" t="str">
        <f t="shared" si="347"/>
        <v>25</v>
      </c>
      <c r="F2755" s="4" t="str">
        <f>"13"</f>
        <v>13</v>
      </c>
      <c r="G2755" s="4" t="s">
        <v>27</v>
      </c>
      <c r="H2755" s="5">
        <v>0</v>
      </c>
      <c r="I2755" s="6" t="s">
        <v>13</v>
      </c>
      <c r="J2755" s="4">
        <f>SUMPRODUCT(--((A2755=$A$3:$A$2785)*$H$3:$H$2785&gt;H2755))+1</f>
        <v>78</v>
      </c>
    </row>
    <row r="2756" s="1" customFormat="true" customHeight="true" spans="1:10">
      <c r="A2756" s="4" t="str">
        <f t="shared" si="345"/>
        <v>037</v>
      </c>
      <c r="B2756" s="4" t="s">
        <v>49</v>
      </c>
      <c r="C2756" s="4" t="str">
        <f>"吴丽梅"</f>
        <v>吴丽梅</v>
      </c>
      <c r="D2756" s="4" t="str">
        <f>"2021022517"</f>
        <v>2021022517</v>
      </c>
      <c r="E2756" s="4" t="str">
        <f t="shared" si="347"/>
        <v>25</v>
      </c>
      <c r="F2756" s="4" t="str">
        <f>"17"</f>
        <v>17</v>
      </c>
      <c r="G2756" s="4" t="s">
        <v>27</v>
      </c>
      <c r="H2756" s="5">
        <v>0</v>
      </c>
      <c r="I2756" s="6" t="s">
        <v>13</v>
      </c>
      <c r="J2756" s="4">
        <f>SUMPRODUCT(--((A2756=$A$3:$A$2785)*$H$3:$H$2785&gt;H2756))+1</f>
        <v>78</v>
      </c>
    </row>
    <row r="2757" s="1" customFormat="true" customHeight="true" spans="1:10">
      <c r="A2757" s="4" t="str">
        <f t="shared" ref="A2757:A2785" si="348">"038"</f>
        <v>038</v>
      </c>
      <c r="B2757" s="4" t="s">
        <v>50</v>
      </c>
      <c r="C2757" s="4" t="str">
        <f>"汪婷"</f>
        <v>汪婷</v>
      </c>
      <c r="D2757" s="4" t="str">
        <f>"2021023417"</f>
        <v>2021023417</v>
      </c>
      <c r="E2757" s="4" t="str">
        <f t="shared" ref="E2757:E2759" si="349">"34"</f>
        <v>34</v>
      </c>
      <c r="F2757" s="4" t="str">
        <f>"17"</f>
        <v>17</v>
      </c>
      <c r="G2757" s="4" t="s">
        <v>27</v>
      </c>
      <c r="H2757" s="5">
        <v>67.84</v>
      </c>
      <c r="I2757" s="4"/>
      <c r="J2757" s="4">
        <f>SUMPRODUCT(--((A2757=$A$3:$A$2785)*$H$3:$H$2785&gt;H2757))+1</f>
        <v>1</v>
      </c>
    </row>
    <row r="2758" s="1" customFormat="true" customHeight="true" spans="1:10">
      <c r="A2758" s="4" t="str">
        <f t="shared" si="348"/>
        <v>038</v>
      </c>
      <c r="B2758" s="4" t="s">
        <v>50</v>
      </c>
      <c r="C2758" s="4" t="str">
        <f>"滕小玲"</f>
        <v>滕小玲</v>
      </c>
      <c r="D2758" s="4" t="str">
        <f>"2021023427"</f>
        <v>2021023427</v>
      </c>
      <c r="E2758" s="4" t="str">
        <f t="shared" si="349"/>
        <v>34</v>
      </c>
      <c r="F2758" s="4" t="str">
        <f>"27"</f>
        <v>27</v>
      </c>
      <c r="G2758" s="4" t="s">
        <v>27</v>
      </c>
      <c r="H2758" s="5">
        <v>62.47</v>
      </c>
      <c r="I2758" s="4"/>
      <c r="J2758" s="4">
        <f>SUMPRODUCT(--((A2758=$A$3:$A$2785)*$H$3:$H$2785&gt;H2758))+1</f>
        <v>2</v>
      </c>
    </row>
    <row r="2759" s="1" customFormat="true" customHeight="true" spans="1:10">
      <c r="A2759" s="4" t="str">
        <f t="shared" si="348"/>
        <v>038</v>
      </c>
      <c r="B2759" s="4" t="s">
        <v>50</v>
      </c>
      <c r="C2759" s="4" t="str">
        <f>"刘燚萍"</f>
        <v>刘燚萍</v>
      </c>
      <c r="D2759" s="4" t="str">
        <f>"2021023422"</f>
        <v>2021023422</v>
      </c>
      <c r="E2759" s="4" t="str">
        <f t="shared" si="349"/>
        <v>34</v>
      </c>
      <c r="F2759" s="4" t="str">
        <f>"22"</f>
        <v>22</v>
      </c>
      <c r="G2759" s="4" t="s">
        <v>27</v>
      </c>
      <c r="H2759" s="5">
        <v>60.94</v>
      </c>
      <c r="I2759" s="4"/>
      <c r="J2759" s="4">
        <f>SUMPRODUCT(--((A2759=$A$3:$A$2785)*$H$3:$H$2785&gt;H2759))+1</f>
        <v>3</v>
      </c>
    </row>
    <row r="2760" s="1" customFormat="true" customHeight="true" spans="1:10">
      <c r="A2760" s="4" t="str">
        <f t="shared" si="348"/>
        <v>038</v>
      </c>
      <c r="B2760" s="4" t="s">
        <v>50</v>
      </c>
      <c r="C2760" s="4" t="str">
        <f>"龙寒"</f>
        <v>龙寒</v>
      </c>
      <c r="D2760" s="4" t="str">
        <f>"2021023501"</f>
        <v>2021023501</v>
      </c>
      <c r="E2760" s="4" t="str">
        <f t="shared" ref="E2760:E2764" si="350">"35"</f>
        <v>35</v>
      </c>
      <c r="F2760" s="4" t="str">
        <f>"01"</f>
        <v>01</v>
      </c>
      <c r="G2760" s="4" t="s">
        <v>27</v>
      </c>
      <c r="H2760" s="5">
        <v>57.28</v>
      </c>
      <c r="I2760" s="4"/>
      <c r="J2760" s="4">
        <f>SUMPRODUCT(--((A2760=$A$3:$A$2785)*$H$3:$H$2785&gt;H2760))+1</f>
        <v>4</v>
      </c>
    </row>
    <row r="2761" s="1" customFormat="true" customHeight="true" spans="1:10">
      <c r="A2761" s="4" t="str">
        <f t="shared" si="348"/>
        <v>038</v>
      </c>
      <c r="B2761" s="4" t="s">
        <v>50</v>
      </c>
      <c r="C2761" s="4" t="str">
        <f>"邓静文"</f>
        <v>邓静文</v>
      </c>
      <c r="D2761" s="4" t="str">
        <f>"2021023421"</f>
        <v>2021023421</v>
      </c>
      <c r="E2761" s="4" t="str">
        <f t="shared" ref="E2761:E2766" si="351">"34"</f>
        <v>34</v>
      </c>
      <c r="F2761" s="4" t="str">
        <f>"21"</f>
        <v>21</v>
      </c>
      <c r="G2761" s="4" t="s">
        <v>27</v>
      </c>
      <c r="H2761" s="5">
        <v>57.22</v>
      </c>
      <c r="I2761" s="4"/>
      <c r="J2761" s="4">
        <f>SUMPRODUCT(--((A2761=$A$3:$A$2785)*$H$3:$H$2785&gt;H2761))+1</f>
        <v>5</v>
      </c>
    </row>
    <row r="2762" s="1" customFormat="true" customHeight="true" spans="1:10">
      <c r="A2762" s="4" t="str">
        <f t="shared" si="348"/>
        <v>038</v>
      </c>
      <c r="B2762" s="4" t="s">
        <v>50</v>
      </c>
      <c r="C2762" s="4" t="str">
        <f>"夏婷"</f>
        <v>夏婷</v>
      </c>
      <c r="D2762" s="4" t="str">
        <f>"2021023504"</f>
        <v>2021023504</v>
      </c>
      <c r="E2762" s="4" t="str">
        <f t="shared" si="350"/>
        <v>35</v>
      </c>
      <c r="F2762" s="4" t="str">
        <f>"04"</f>
        <v>04</v>
      </c>
      <c r="G2762" s="4" t="s">
        <v>27</v>
      </c>
      <c r="H2762" s="5">
        <v>56.76</v>
      </c>
      <c r="I2762" s="4"/>
      <c r="J2762" s="4">
        <f>SUMPRODUCT(--((A2762=$A$3:$A$2785)*$H$3:$H$2785&gt;H2762))+1</f>
        <v>6</v>
      </c>
    </row>
    <row r="2763" s="1" customFormat="true" customHeight="true" spans="1:10">
      <c r="A2763" s="4" t="str">
        <f t="shared" si="348"/>
        <v>038</v>
      </c>
      <c r="B2763" s="4" t="s">
        <v>50</v>
      </c>
      <c r="C2763" s="4" t="str">
        <f>"舒相丽"</f>
        <v>舒相丽</v>
      </c>
      <c r="D2763" s="4" t="str">
        <f>"2021023511"</f>
        <v>2021023511</v>
      </c>
      <c r="E2763" s="4" t="str">
        <f t="shared" si="350"/>
        <v>35</v>
      </c>
      <c r="F2763" s="4" t="str">
        <f>"11"</f>
        <v>11</v>
      </c>
      <c r="G2763" s="4" t="s">
        <v>27</v>
      </c>
      <c r="H2763" s="5">
        <v>56.22</v>
      </c>
      <c r="I2763" s="4"/>
      <c r="J2763" s="4">
        <f>SUMPRODUCT(--((A2763=$A$3:$A$2785)*$H$3:$H$2785&gt;H2763))+1</f>
        <v>7</v>
      </c>
    </row>
    <row r="2764" s="1" customFormat="true" customHeight="true" spans="1:10">
      <c r="A2764" s="4" t="str">
        <f t="shared" si="348"/>
        <v>038</v>
      </c>
      <c r="B2764" s="4" t="s">
        <v>50</v>
      </c>
      <c r="C2764" s="4" t="str">
        <f>"杨晓芳"</f>
        <v>杨晓芳</v>
      </c>
      <c r="D2764" s="4" t="str">
        <f>"2021023503"</f>
        <v>2021023503</v>
      </c>
      <c r="E2764" s="4" t="str">
        <f t="shared" si="350"/>
        <v>35</v>
      </c>
      <c r="F2764" s="4" t="str">
        <f>"03"</f>
        <v>03</v>
      </c>
      <c r="G2764" s="4" t="s">
        <v>27</v>
      </c>
      <c r="H2764" s="5">
        <v>56.05</v>
      </c>
      <c r="I2764" s="4"/>
      <c r="J2764" s="4">
        <f>SUMPRODUCT(--((A2764=$A$3:$A$2785)*$H$3:$H$2785&gt;H2764))+1</f>
        <v>8</v>
      </c>
    </row>
    <row r="2765" s="1" customFormat="true" customHeight="true" spans="1:10">
      <c r="A2765" s="4" t="str">
        <f t="shared" si="348"/>
        <v>038</v>
      </c>
      <c r="B2765" s="4" t="s">
        <v>50</v>
      </c>
      <c r="C2765" s="4" t="str">
        <f>"蒋琛琳"</f>
        <v>蒋琛琳</v>
      </c>
      <c r="D2765" s="4" t="str">
        <f>"2021023429"</f>
        <v>2021023429</v>
      </c>
      <c r="E2765" s="4" t="str">
        <f t="shared" si="351"/>
        <v>34</v>
      </c>
      <c r="F2765" s="4" t="str">
        <f>"29"</f>
        <v>29</v>
      </c>
      <c r="G2765" s="4" t="s">
        <v>27</v>
      </c>
      <c r="H2765" s="5">
        <v>54.82</v>
      </c>
      <c r="I2765" s="4"/>
      <c r="J2765" s="4">
        <f>SUMPRODUCT(--((A2765=$A$3:$A$2785)*$H$3:$H$2785&gt;H2765))+1</f>
        <v>9</v>
      </c>
    </row>
    <row r="2766" s="1" customFormat="true" customHeight="true" spans="1:10">
      <c r="A2766" s="4" t="str">
        <f t="shared" si="348"/>
        <v>038</v>
      </c>
      <c r="B2766" s="4" t="s">
        <v>50</v>
      </c>
      <c r="C2766" s="4" t="str">
        <f>"唐灵"</f>
        <v>唐灵</v>
      </c>
      <c r="D2766" s="4" t="str">
        <f>"2021023426"</f>
        <v>2021023426</v>
      </c>
      <c r="E2766" s="4" t="str">
        <f t="shared" si="351"/>
        <v>34</v>
      </c>
      <c r="F2766" s="4" t="str">
        <f>"26"</f>
        <v>26</v>
      </c>
      <c r="G2766" s="4" t="s">
        <v>27</v>
      </c>
      <c r="H2766" s="5">
        <v>54.8</v>
      </c>
      <c r="I2766" s="4"/>
      <c r="J2766" s="4">
        <f>SUMPRODUCT(--((A2766=$A$3:$A$2785)*$H$3:$H$2785&gt;H2766))+1</f>
        <v>10</v>
      </c>
    </row>
    <row r="2767" s="1" customFormat="true" customHeight="true" spans="1:10">
      <c r="A2767" s="4" t="str">
        <f t="shared" si="348"/>
        <v>038</v>
      </c>
      <c r="B2767" s="4" t="s">
        <v>50</v>
      </c>
      <c r="C2767" s="4" t="str">
        <f>"周琳"</f>
        <v>周琳</v>
      </c>
      <c r="D2767" s="4" t="str">
        <f>"2021023510"</f>
        <v>2021023510</v>
      </c>
      <c r="E2767" s="4" t="str">
        <f t="shared" ref="E2767:E2769" si="352">"35"</f>
        <v>35</v>
      </c>
      <c r="F2767" s="4" t="str">
        <f>"10"</f>
        <v>10</v>
      </c>
      <c r="G2767" s="4" t="s">
        <v>27</v>
      </c>
      <c r="H2767" s="5">
        <v>53.22</v>
      </c>
      <c r="I2767" s="4"/>
      <c r="J2767" s="4">
        <f>SUMPRODUCT(--((A2767=$A$3:$A$2785)*$H$3:$H$2785&gt;H2767))+1</f>
        <v>11</v>
      </c>
    </row>
    <row r="2768" s="1" customFormat="true" customHeight="true" spans="1:10">
      <c r="A2768" s="4" t="str">
        <f t="shared" si="348"/>
        <v>038</v>
      </c>
      <c r="B2768" s="4" t="s">
        <v>50</v>
      </c>
      <c r="C2768" s="4" t="str">
        <f>"罗云"</f>
        <v>罗云</v>
      </c>
      <c r="D2768" s="4" t="str">
        <f>"2021023502"</f>
        <v>2021023502</v>
      </c>
      <c r="E2768" s="4" t="str">
        <f t="shared" si="352"/>
        <v>35</v>
      </c>
      <c r="F2768" s="4" t="str">
        <f>"02"</f>
        <v>02</v>
      </c>
      <c r="G2768" s="4" t="s">
        <v>27</v>
      </c>
      <c r="H2768" s="5">
        <v>53.12</v>
      </c>
      <c r="I2768" s="4"/>
      <c r="J2768" s="4">
        <f>SUMPRODUCT(--((A2768=$A$3:$A$2785)*$H$3:$H$2785&gt;H2768))+1</f>
        <v>12</v>
      </c>
    </row>
    <row r="2769" s="1" customFormat="true" customHeight="true" spans="1:10">
      <c r="A2769" s="4" t="str">
        <f t="shared" si="348"/>
        <v>038</v>
      </c>
      <c r="B2769" s="4" t="s">
        <v>50</v>
      </c>
      <c r="C2769" s="4" t="str">
        <f>"卢辉辉"</f>
        <v>卢辉辉</v>
      </c>
      <c r="D2769" s="4" t="str">
        <f>"2021023505"</f>
        <v>2021023505</v>
      </c>
      <c r="E2769" s="4" t="str">
        <f t="shared" si="352"/>
        <v>35</v>
      </c>
      <c r="F2769" s="4" t="str">
        <f>"05"</f>
        <v>05</v>
      </c>
      <c r="G2769" s="4" t="s">
        <v>27</v>
      </c>
      <c r="H2769" s="5">
        <v>53.1</v>
      </c>
      <c r="I2769" s="4"/>
      <c r="J2769" s="4">
        <f>SUMPRODUCT(--((A2769=$A$3:$A$2785)*$H$3:$H$2785&gt;H2769))+1</f>
        <v>13</v>
      </c>
    </row>
    <row r="2770" s="1" customFormat="true" customHeight="true" spans="1:10">
      <c r="A2770" s="4" t="str">
        <f t="shared" si="348"/>
        <v>038</v>
      </c>
      <c r="B2770" s="4" t="s">
        <v>50</v>
      </c>
      <c r="C2770" s="4" t="str">
        <f>"刘丽君"</f>
        <v>刘丽君</v>
      </c>
      <c r="D2770" s="4" t="str">
        <f>"2021023428"</f>
        <v>2021023428</v>
      </c>
      <c r="E2770" s="4" t="str">
        <f t="shared" ref="E2770:E2776" si="353">"34"</f>
        <v>34</v>
      </c>
      <c r="F2770" s="4" t="str">
        <f>"28"</f>
        <v>28</v>
      </c>
      <c r="G2770" s="4" t="s">
        <v>27</v>
      </c>
      <c r="H2770" s="5">
        <v>52.86</v>
      </c>
      <c r="I2770" s="4"/>
      <c r="J2770" s="4">
        <f>SUMPRODUCT(--((A2770=$A$3:$A$2785)*$H$3:$H$2785&gt;H2770))+1</f>
        <v>14</v>
      </c>
    </row>
    <row r="2771" s="1" customFormat="true" customHeight="true" spans="1:10">
      <c r="A2771" s="4" t="str">
        <f t="shared" si="348"/>
        <v>038</v>
      </c>
      <c r="B2771" s="4" t="s">
        <v>50</v>
      </c>
      <c r="C2771" s="4" t="str">
        <f>"覃粒"</f>
        <v>覃粒</v>
      </c>
      <c r="D2771" s="4" t="str">
        <f>"2021023424"</f>
        <v>2021023424</v>
      </c>
      <c r="E2771" s="4" t="str">
        <f t="shared" si="353"/>
        <v>34</v>
      </c>
      <c r="F2771" s="4" t="str">
        <f>"24"</f>
        <v>24</v>
      </c>
      <c r="G2771" s="4" t="s">
        <v>27</v>
      </c>
      <c r="H2771" s="5">
        <v>52.36</v>
      </c>
      <c r="I2771" s="4"/>
      <c r="J2771" s="4">
        <f>SUMPRODUCT(--((A2771=$A$3:$A$2785)*$H$3:$H$2785&gt;H2771))+1</f>
        <v>15</v>
      </c>
    </row>
    <row r="2772" s="1" customFormat="true" customHeight="true" spans="1:10">
      <c r="A2772" s="4" t="str">
        <f t="shared" si="348"/>
        <v>038</v>
      </c>
      <c r="B2772" s="4" t="s">
        <v>50</v>
      </c>
      <c r="C2772" s="4" t="str">
        <f>"石小燕"</f>
        <v>石小燕</v>
      </c>
      <c r="D2772" s="4" t="str">
        <f>"2021023507"</f>
        <v>2021023507</v>
      </c>
      <c r="E2772" s="4" t="str">
        <f t="shared" ref="E2772:E2777" si="354">"35"</f>
        <v>35</v>
      </c>
      <c r="F2772" s="4" t="str">
        <f>"07"</f>
        <v>07</v>
      </c>
      <c r="G2772" s="4" t="s">
        <v>27</v>
      </c>
      <c r="H2772" s="5">
        <v>50.74</v>
      </c>
      <c r="I2772" s="4"/>
      <c r="J2772" s="4">
        <f>SUMPRODUCT(--((A2772=$A$3:$A$2785)*$H$3:$H$2785&gt;H2772))+1</f>
        <v>16</v>
      </c>
    </row>
    <row r="2773" s="1" customFormat="true" customHeight="true" spans="1:10">
      <c r="A2773" s="4" t="str">
        <f t="shared" si="348"/>
        <v>038</v>
      </c>
      <c r="B2773" s="4" t="s">
        <v>50</v>
      </c>
      <c r="C2773" s="4" t="str">
        <f>"米思嘉"</f>
        <v>米思嘉</v>
      </c>
      <c r="D2773" s="4" t="str">
        <f>"2021023506"</f>
        <v>2021023506</v>
      </c>
      <c r="E2773" s="4" t="str">
        <f t="shared" si="354"/>
        <v>35</v>
      </c>
      <c r="F2773" s="4" t="str">
        <f>"06"</f>
        <v>06</v>
      </c>
      <c r="G2773" s="4" t="s">
        <v>27</v>
      </c>
      <c r="H2773" s="5">
        <v>49.3</v>
      </c>
      <c r="I2773" s="4"/>
      <c r="J2773" s="4">
        <f>SUMPRODUCT(--((A2773=$A$3:$A$2785)*$H$3:$H$2785&gt;H2773))+1</f>
        <v>17</v>
      </c>
    </row>
    <row r="2774" s="1" customFormat="true" customHeight="true" spans="1:10">
      <c r="A2774" s="4" t="str">
        <f t="shared" si="348"/>
        <v>038</v>
      </c>
      <c r="B2774" s="4" t="s">
        <v>50</v>
      </c>
      <c r="C2774" s="4" t="str">
        <f>"赵理"</f>
        <v>赵理</v>
      </c>
      <c r="D2774" s="4" t="str">
        <f>"2021023420"</f>
        <v>2021023420</v>
      </c>
      <c r="E2774" s="4" t="str">
        <f t="shared" si="353"/>
        <v>34</v>
      </c>
      <c r="F2774" s="4" t="str">
        <f>"20"</f>
        <v>20</v>
      </c>
      <c r="G2774" s="4" t="s">
        <v>27</v>
      </c>
      <c r="H2774" s="5">
        <v>48.18</v>
      </c>
      <c r="I2774" s="4"/>
      <c r="J2774" s="4">
        <f>SUMPRODUCT(--((A2774=$A$3:$A$2785)*$H$3:$H$2785&gt;H2774))+1</f>
        <v>18</v>
      </c>
    </row>
    <row r="2775" s="1" customFormat="true" customHeight="true" spans="1:10">
      <c r="A2775" s="4" t="str">
        <f t="shared" si="348"/>
        <v>038</v>
      </c>
      <c r="B2775" s="4" t="s">
        <v>50</v>
      </c>
      <c r="C2775" s="4" t="str">
        <f>"舒淑"</f>
        <v>舒淑</v>
      </c>
      <c r="D2775" s="4" t="str">
        <f>"2021023416"</f>
        <v>2021023416</v>
      </c>
      <c r="E2775" s="4" t="str">
        <f t="shared" si="353"/>
        <v>34</v>
      </c>
      <c r="F2775" s="4" t="str">
        <f>"16"</f>
        <v>16</v>
      </c>
      <c r="G2775" s="4" t="s">
        <v>27</v>
      </c>
      <c r="H2775" s="5">
        <v>46.36</v>
      </c>
      <c r="I2775" s="4"/>
      <c r="J2775" s="4">
        <f>SUMPRODUCT(--((A2775=$A$3:$A$2785)*$H$3:$H$2785&gt;H2775))+1</f>
        <v>19</v>
      </c>
    </row>
    <row r="2776" s="1" customFormat="true" customHeight="true" spans="1:10">
      <c r="A2776" s="4" t="str">
        <f t="shared" si="348"/>
        <v>038</v>
      </c>
      <c r="B2776" s="4" t="s">
        <v>50</v>
      </c>
      <c r="C2776" s="4" t="str">
        <f>"李艳"</f>
        <v>李艳</v>
      </c>
      <c r="D2776" s="4" t="str">
        <f>"2021023430"</f>
        <v>2021023430</v>
      </c>
      <c r="E2776" s="4" t="str">
        <f t="shared" si="353"/>
        <v>34</v>
      </c>
      <c r="F2776" s="4" t="str">
        <f>"30"</f>
        <v>30</v>
      </c>
      <c r="G2776" s="4" t="s">
        <v>27</v>
      </c>
      <c r="H2776" s="5">
        <v>46.24</v>
      </c>
      <c r="I2776" s="4"/>
      <c r="J2776" s="4">
        <f>SUMPRODUCT(--((A2776=$A$3:$A$2785)*$H$3:$H$2785&gt;H2776))+1</f>
        <v>20</v>
      </c>
    </row>
    <row r="2777" s="1" customFormat="true" customHeight="true" spans="1:10">
      <c r="A2777" s="4" t="str">
        <f t="shared" si="348"/>
        <v>038</v>
      </c>
      <c r="B2777" s="4" t="s">
        <v>50</v>
      </c>
      <c r="C2777" s="4" t="str">
        <f>"张丽萍"</f>
        <v>张丽萍</v>
      </c>
      <c r="D2777" s="4" t="str">
        <f>"2021023512"</f>
        <v>2021023512</v>
      </c>
      <c r="E2777" s="4" t="str">
        <f t="shared" si="354"/>
        <v>35</v>
      </c>
      <c r="F2777" s="4" t="str">
        <f>"12"</f>
        <v>12</v>
      </c>
      <c r="G2777" s="4" t="s">
        <v>27</v>
      </c>
      <c r="H2777" s="5">
        <v>42.72</v>
      </c>
      <c r="I2777" s="4"/>
      <c r="J2777" s="4">
        <f>SUMPRODUCT(--((A2777=$A$3:$A$2785)*$H$3:$H$2785&gt;H2777))+1</f>
        <v>21</v>
      </c>
    </row>
    <row r="2778" s="1" customFormat="true" customHeight="true" spans="1:10">
      <c r="A2778" s="4" t="str">
        <f t="shared" si="348"/>
        <v>038</v>
      </c>
      <c r="B2778" s="4" t="s">
        <v>50</v>
      </c>
      <c r="C2778" s="4" t="str">
        <f>"邓玉林"</f>
        <v>邓玉林</v>
      </c>
      <c r="D2778" s="4" t="str">
        <f>"2021023415"</f>
        <v>2021023415</v>
      </c>
      <c r="E2778" s="4" t="str">
        <f t="shared" ref="E2778:E2782" si="355">"34"</f>
        <v>34</v>
      </c>
      <c r="F2778" s="4" t="str">
        <f>"15"</f>
        <v>15</v>
      </c>
      <c r="G2778" s="4" t="s">
        <v>27</v>
      </c>
      <c r="H2778" s="5">
        <v>0</v>
      </c>
      <c r="I2778" s="6" t="s">
        <v>13</v>
      </c>
      <c r="J2778" s="4">
        <f>SUMPRODUCT(--((A2778=$A$3:$A$2785)*$H$3:$H$2785&gt;H2778))+1</f>
        <v>22</v>
      </c>
    </row>
    <row r="2779" s="1" customFormat="true" customHeight="true" spans="1:10">
      <c r="A2779" s="4" t="str">
        <f t="shared" si="348"/>
        <v>038</v>
      </c>
      <c r="B2779" s="4" t="s">
        <v>50</v>
      </c>
      <c r="C2779" s="4" t="str">
        <f>"谢金霞"</f>
        <v>谢金霞</v>
      </c>
      <c r="D2779" s="4" t="str">
        <f>"2021023418"</f>
        <v>2021023418</v>
      </c>
      <c r="E2779" s="4" t="str">
        <f t="shared" si="355"/>
        <v>34</v>
      </c>
      <c r="F2779" s="4" t="str">
        <f>"18"</f>
        <v>18</v>
      </c>
      <c r="G2779" s="4" t="s">
        <v>27</v>
      </c>
      <c r="H2779" s="5">
        <v>0</v>
      </c>
      <c r="I2779" s="6" t="s">
        <v>13</v>
      </c>
      <c r="J2779" s="4">
        <f>SUMPRODUCT(--((A2779=$A$3:$A$2785)*$H$3:$H$2785&gt;H2779))+1</f>
        <v>22</v>
      </c>
    </row>
    <row r="2780" s="1" customFormat="true" customHeight="true" spans="1:10">
      <c r="A2780" s="4" t="str">
        <f t="shared" si="348"/>
        <v>038</v>
      </c>
      <c r="B2780" s="4" t="s">
        <v>50</v>
      </c>
      <c r="C2780" s="4" t="str">
        <f>"朱敏"</f>
        <v>朱敏</v>
      </c>
      <c r="D2780" s="4" t="str">
        <f>"2021023419"</f>
        <v>2021023419</v>
      </c>
      <c r="E2780" s="4" t="str">
        <f t="shared" si="355"/>
        <v>34</v>
      </c>
      <c r="F2780" s="4" t="str">
        <f>"19"</f>
        <v>19</v>
      </c>
      <c r="G2780" s="4" t="s">
        <v>27</v>
      </c>
      <c r="H2780" s="5">
        <v>0</v>
      </c>
      <c r="I2780" s="6" t="s">
        <v>13</v>
      </c>
      <c r="J2780" s="4">
        <f>SUMPRODUCT(--((A2780=$A$3:$A$2785)*$H$3:$H$2785&gt;H2780))+1</f>
        <v>22</v>
      </c>
    </row>
    <row r="2781" s="1" customFormat="true" customHeight="true" spans="1:10">
      <c r="A2781" s="4" t="str">
        <f t="shared" si="348"/>
        <v>038</v>
      </c>
      <c r="B2781" s="4" t="s">
        <v>50</v>
      </c>
      <c r="C2781" s="4" t="str">
        <f>"符芊"</f>
        <v>符芊</v>
      </c>
      <c r="D2781" s="4" t="str">
        <f>"2021023423"</f>
        <v>2021023423</v>
      </c>
      <c r="E2781" s="4" t="str">
        <f t="shared" si="355"/>
        <v>34</v>
      </c>
      <c r="F2781" s="4" t="str">
        <f>"23"</f>
        <v>23</v>
      </c>
      <c r="G2781" s="4" t="s">
        <v>27</v>
      </c>
      <c r="H2781" s="5">
        <v>0</v>
      </c>
      <c r="I2781" s="6" t="s">
        <v>13</v>
      </c>
      <c r="J2781" s="4">
        <f>SUMPRODUCT(--((A2781=$A$3:$A$2785)*$H$3:$H$2785&gt;H2781))+1</f>
        <v>22</v>
      </c>
    </row>
    <row r="2782" s="1" customFormat="true" customHeight="true" spans="1:10">
      <c r="A2782" s="4" t="str">
        <f t="shared" si="348"/>
        <v>038</v>
      </c>
      <c r="B2782" s="4" t="s">
        <v>50</v>
      </c>
      <c r="C2782" s="4" t="str">
        <f>"李媛"</f>
        <v>李媛</v>
      </c>
      <c r="D2782" s="4" t="str">
        <f>"2021023425"</f>
        <v>2021023425</v>
      </c>
      <c r="E2782" s="4" t="str">
        <f t="shared" si="355"/>
        <v>34</v>
      </c>
      <c r="F2782" s="4" t="str">
        <f>"25"</f>
        <v>25</v>
      </c>
      <c r="G2782" s="4" t="s">
        <v>27</v>
      </c>
      <c r="H2782" s="5">
        <v>0</v>
      </c>
      <c r="I2782" s="6" t="s">
        <v>13</v>
      </c>
      <c r="J2782" s="4">
        <f>SUMPRODUCT(--((A2782=$A$3:$A$2785)*$H$3:$H$2785&gt;H2782))+1</f>
        <v>22</v>
      </c>
    </row>
    <row r="2783" s="1" customFormat="true" customHeight="true" spans="1:10">
      <c r="A2783" s="4" t="str">
        <f t="shared" si="348"/>
        <v>038</v>
      </c>
      <c r="B2783" s="4" t="s">
        <v>50</v>
      </c>
      <c r="C2783" s="4" t="str">
        <f>"周霞梅"</f>
        <v>周霞梅</v>
      </c>
      <c r="D2783" s="4" t="str">
        <f>"2021023508"</f>
        <v>2021023508</v>
      </c>
      <c r="E2783" s="4" t="str">
        <f t="shared" ref="E2783:E2785" si="356">"35"</f>
        <v>35</v>
      </c>
      <c r="F2783" s="4" t="str">
        <f>"08"</f>
        <v>08</v>
      </c>
      <c r="G2783" s="4" t="s">
        <v>27</v>
      </c>
      <c r="H2783" s="5">
        <v>0</v>
      </c>
      <c r="I2783" s="6" t="s">
        <v>13</v>
      </c>
      <c r="J2783" s="4">
        <f>SUMPRODUCT(--((A2783=$A$3:$A$2785)*$H$3:$H$2785&gt;H2783))+1</f>
        <v>22</v>
      </c>
    </row>
    <row r="2784" s="1" customFormat="true" customHeight="true" spans="1:10">
      <c r="A2784" s="4" t="str">
        <f t="shared" si="348"/>
        <v>038</v>
      </c>
      <c r="B2784" s="4" t="s">
        <v>50</v>
      </c>
      <c r="C2784" s="4" t="str">
        <f>"向爱莲"</f>
        <v>向爱莲</v>
      </c>
      <c r="D2784" s="4" t="str">
        <f>"2021023509"</f>
        <v>2021023509</v>
      </c>
      <c r="E2784" s="4" t="str">
        <f t="shared" si="356"/>
        <v>35</v>
      </c>
      <c r="F2784" s="4" t="str">
        <f>"09"</f>
        <v>09</v>
      </c>
      <c r="G2784" s="4" t="s">
        <v>27</v>
      </c>
      <c r="H2784" s="5">
        <v>0</v>
      </c>
      <c r="I2784" s="6" t="s">
        <v>13</v>
      </c>
      <c r="J2784" s="4">
        <f>SUMPRODUCT(--((A2784=$A$3:$A$2785)*$H$3:$H$2785&gt;H2784))+1</f>
        <v>22</v>
      </c>
    </row>
    <row r="2785" s="1" customFormat="true" customHeight="true" spans="1:10">
      <c r="A2785" s="4" t="str">
        <f t="shared" si="348"/>
        <v>038</v>
      </c>
      <c r="B2785" s="4" t="s">
        <v>50</v>
      </c>
      <c r="C2785" s="4" t="str">
        <f>"丁玲"</f>
        <v>丁玲</v>
      </c>
      <c r="D2785" s="4" t="str">
        <f>"2021023513"</f>
        <v>2021023513</v>
      </c>
      <c r="E2785" s="4" t="str">
        <f t="shared" si="356"/>
        <v>35</v>
      </c>
      <c r="F2785" s="4" t="str">
        <f>"13"</f>
        <v>13</v>
      </c>
      <c r="G2785" s="4" t="s">
        <v>27</v>
      </c>
      <c r="H2785" s="5">
        <v>0</v>
      </c>
      <c r="I2785" s="6" t="s">
        <v>13</v>
      </c>
      <c r="J2785" s="4">
        <f>SUMPRODUCT(--((A2785=$A$3:$A$2785)*$H$3:$H$2785&gt;H2785))+1</f>
        <v>22</v>
      </c>
    </row>
  </sheetData>
  <autoFilter ref="A2:K2785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2021-11-11T09:54:18Z</dcterms:created>
  <dcterms:modified xsi:type="dcterms:W3CDTF">2021-11-11T10:03:13Z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